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MVA" sheetId="1" r:id="rId1"/>
    <sheet name="linearizer" sheetId="3" r:id="rId2"/>
    <sheet name="approx" sheetId="2" r:id="rId3"/>
  </sheets>
  <calcPr calcId="152511"/>
</workbook>
</file>

<file path=xl/calcChain.xml><?xml version="1.0" encoding="utf-8"?>
<calcChain xmlns="http://schemas.openxmlformats.org/spreadsheetml/2006/main">
  <c r="M15" i="2" l="1"/>
  <c r="L15" i="2"/>
  <c r="E8" i="1" l="1"/>
  <c r="L19" i="2" l="1"/>
  <c r="L20" i="2"/>
  <c r="L18" i="2"/>
  <c r="Y44" i="1" l="1"/>
  <c r="V46" i="1"/>
  <c r="V45" i="1"/>
  <c r="V47" i="1"/>
  <c r="V48" i="1"/>
  <c r="V49" i="1"/>
  <c r="V50" i="1"/>
  <c r="V51" i="1"/>
  <c r="V52" i="1"/>
  <c r="V53" i="1"/>
  <c r="V44" i="1"/>
  <c r="X45" i="1"/>
  <c r="X13" i="1"/>
  <c r="W13" i="1"/>
  <c r="L8" i="3" l="1"/>
  <c r="L7" i="3"/>
  <c r="D7" i="3"/>
  <c r="X18" i="3"/>
  <c r="E16" i="3"/>
  <c r="P16" i="3"/>
  <c r="P8" i="3"/>
  <c r="P7" i="3"/>
  <c r="L16" i="3"/>
  <c r="X29" i="1" l="1"/>
  <c r="X48" i="1"/>
  <c r="Z34" i="1"/>
  <c r="Z36" i="1"/>
  <c r="Z38" i="1"/>
  <c r="Z32" i="1"/>
  <c r="Z45" i="1"/>
  <c r="Z46" i="1"/>
  <c r="Z47" i="1"/>
  <c r="Z48" i="1"/>
  <c r="Z49" i="1"/>
  <c r="Z50" i="1"/>
  <c r="Z51" i="1"/>
  <c r="Z52" i="1"/>
  <c r="Z53" i="1"/>
  <c r="Z44" i="1"/>
  <c r="O16" i="3" l="1"/>
  <c r="O15" i="3"/>
  <c r="O14" i="3"/>
  <c r="O13" i="3"/>
  <c r="A10" i="3"/>
  <c r="O7" i="3"/>
  <c r="O12" i="3"/>
  <c r="O11" i="3"/>
  <c r="O10" i="3"/>
  <c r="O9" i="3"/>
  <c r="O8" i="3"/>
  <c r="H7" i="3"/>
  <c r="S7" i="3" s="1"/>
  <c r="N3" i="3"/>
  <c r="G7" i="3" s="1"/>
  <c r="R7" i="3" s="1"/>
  <c r="P3" i="3"/>
  <c r="R3" i="3" s="1"/>
  <c r="M3" i="3"/>
  <c r="Q3" i="3" s="1"/>
  <c r="W7" i="3" l="1"/>
  <c r="F7" i="3"/>
  <c r="Q7" i="3" s="1"/>
  <c r="K7" i="3"/>
  <c r="V7" i="3" s="1"/>
  <c r="J7" i="3"/>
  <c r="U7" i="3" s="1"/>
  <c r="E7" i="3"/>
  <c r="I7" i="3"/>
  <c r="T7" i="3" s="1"/>
  <c r="E6" i="1"/>
  <c r="X7" i="3" l="1"/>
  <c r="L14" i="2"/>
  <c r="M17" i="2"/>
  <c r="M12" i="2"/>
  <c r="M13" i="2"/>
  <c r="M14" i="2"/>
  <c r="M16" i="2"/>
  <c r="M18" i="2"/>
  <c r="M19" i="2"/>
  <c r="M20" i="2"/>
  <c r="M11" i="2"/>
  <c r="J15" i="2"/>
  <c r="J18" i="2"/>
  <c r="J19" i="2"/>
  <c r="J11" i="2"/>
  <c r="L17" i="2"/>
  <c r="L16" i="2"/>
  <c r="K16" i="2" s="1"/>
  <c r="J16" i="2"/>
  <c r="K17" i="2"/>
  <c r="J17" i="2"/>
  <c r="K18" i="2"/>
  <c r="K19" i="2"/>
  <c r="K20" i="2"/>
  <c r="J20" i="2"/>
  <c r="E17" i="2"/>
  <c r="G17" i="2" s="1"/>
  <c r="F17" i="2"/>
  <c r="F6" i="2"/>
  <c r="K12" i="2"/>
  <c r="K13" i="2"/>
  <c r="K14" i="2"/>
  <c r="K15" i="2"/>
  <c r="K11" i="2"/>
  <c r="J12" i="2"/>
  <c r="J13" i="2"/>
  <c r="J14" i="2"/>
  <c r="L12" i="2"/>
  <c r="L13" i="2"/>
  <c r="L11" i="2"/>
  <c r="F20" i="2"/>
  <c r="G20" i="2"/>
  <c r="G13" i="2"/>
  <c r="G14" i="2"/>
  <c r="G15" i="2"/>
  <c r="G16" i="2"/>
  <c r="G18" i="2"/>
  <c r="G19" i="2"/>
  <c r="F13" i="2"/>
  <c r="F14" i="2"/>
  <c r="F15" i="2"/>
  <c r="F16" i="2"/>
  <c r="F18" i="2"/>
  <c r="F19" i="2"/>
  <c r="E16" i="2"/>
  <c r="G12" i="2"/>
  <c r="G11" i="2"/>
  <c r="F12" i="2"/>
  <c r="F11" i="2"/>
  <c r="E6" i="2"/>
  <c r="O3" i="2"/>
  <c r="P3" i="2"/>
  <c r="M46" i="1"/>
  <c r="N46" i="1"/>
  <c r="O46" i="1"/>
  <c r="P46" i="1"/>
  <c r="U46" i="1" s="1"/>
  <c r="X46" i="1" s="1"/>
  <c r="Q46" i="1"/>
  <c r="R46" i="1"/>
  <c r="S46" i="1"/>
  <c r="T46" i="1"/>
  <c r="X44" i="1"/>
  <c r="D45" i="1"/>
  <c r="E45" i="1"/>
  <c r="F45" i="1"/>
  <c r="G45" i="1"/>
  <c r="H45" i="1"/>
  <c r="I45" i="1"/>
  <c r="J45" i="1"/>
  <c r="K45" i="1"/>
  <c r="Y45" i="1"/>
  <c r="U45" i="1"/>
  <c r="N45" i="1"/>
  <c r="O45" i="1"/>
  <c r="P45" i="1"/>
  <c r="Q45" i="1"/>
  <c r="R45" i="1"/>
  <c r="S45" i="1"/>
  <c r="T45" i="1"/>
  <c r="M45" i="1"/>
  <c r="D12" i="1"/>
  <c r="E44" i="1"/>
  <c r="F44" i="1"/>
  <c r="G44" i="1"/>
  <c r="H44" i="1"/>
  <c r="I44" i="1"/>
  <c r="J44" i="1"/>
  <c r="K44" i="1"/>
  <c r="D44" i="1"/>
  <c r="U44" i="1"/>
  <c r="N44" i="1"/>
  <c r="O44" i="1"/>
  <c r="P44" i="1"/>
  <c r="Q44" i="1"/>
  <c r="R44" i="1"/>
  <c r="S44" i="1"/>
  <c r="T44" i="1"/>
  <c r="M44" i="1"/>
  <c r="I8" i="3" l="1"/>
  <c r="T8" i="3" s="1"/>
  <c r="E8" i="3"/>
  <c r="Z7" i="3"/>
  <c r="H8" i="3"/>
  <c r="S8" i="3" s="1"/>
  <c r="Y7" i="3"/>
  <c r="W8" i="3"/>
  <c r="G8" i="3"/>
  <c r="R8" i="3" s="1"/>
  <c r="K8" i="3"/>
  <c r="V8" i="3" s="1"/>
  <c r="F8" i="3"/>
  <c r="Q8" i="3" s="1"/>
  <c r="J8" i="3"/>
  <c r="U8" i="3" s="1"/>
  <c r="J46" i="1"/>
  <c r="S47" i="1" s="1"/>
  <c r="F46" i="1"/>
  <c r="O47" i="1" s="1"/>
  <c r="I46" i="1"/>
  <c r="R47" i="1" s="1"/>
  <c r="E46" i="1"/>
  <c r="N47" i="1" s="1"/>
  <c r="K46" i="1"/>
  <c r="T47" i="1" s="1"/>
  <c r="H46" i="1"/>
  <c r="Q47" i="1" s="1"/>
  <c r="D46" i="1"/>
  <c r="G46" i="1"/>
  <c r="P47" i="1" s="1"/>
  <c r="S4" i="1"/>
  <c r="Y38" i="1"/>
  <c r="Y36" i="1"/>
  <c r="Y34" i="1"/>
  <c r="Y32" i="1"/>
  <c r="X12" i="1"/>
  <c r="P8" i="1"/>
  <c r="X11" i="1"/>
  <c r="X8" i="3" l="1"/>
  <c r="J9" i="3" s="1"/>
  <c r="U9" i="3" s="1"/>
  <c r="Y46" i="1"/>
  <c r="M47" i="1"/>
  <c r="N3" i="2"/>
  <c r="M3" i="2"/>
  <c r="N11" i="1"/>
  <c r="O11" i="1"/>
  <c r="R11" i="1"/>
  <c r="S11" i="1"/>
  <c r="A8" i="1"/>
  <c r="F8" i="1"/>
  <c r="G8" i="1"/>
  <c r="H8" i="1"/>
  <c r="P11" i="1" s="1"/>
  <c r="I8" i="1"/>
  <c r="Q11" i="1" s="1"/>
  <c r="J8" i="1"/>
  <c r="K8" i="1"/>
  <c r="L8" i="1"/>
  <c r="T11" i="1" s="1"/>
  <c r="N8" i="1"/>
  <c r="G6" i="1"/>
  <c r="H6" i="1"/>
  <c r="I6" i="1"/>
  <c r="J6" i="1"/>
  <c r="K6" i="1"/>
  <c r="L6" i="1"/>
  <c r="F6" i="1"/>
  <c r="B5" i="1"/>
  <c r="L9" i="3" l="1"/>
  <c r="W9" i="3" s="1"/>
  <c r="Y8" i="3"/>
  <c r="Z8" i="3"/>
  <c r="I9" i="3"/>
  <c r="T9" i="3" s="1"/>
  <c r="H9" i="3"/>
  <c r="S9" i="3" s="1"/>
  <c r="E9" i="3"/>
  <c r="P9" i="3" s="1"/>
  <c r="G9" i="3"/>
  <c r="R9" i="3" s="1"/>
  <c r="F9" i="3"/>
  <c r="Q9" i="3" s="1"/>
  <c r="K9" i="3"/>
  <c r="V9" i="3" s="1"/>
  <c r="U47" i="1"/>
  <c r="M8" i="1"/>
  <c r="M11" i="1"/>
  <c r="U11" i="1" s="1"/>
  <c r="J11" i="1" s="1"/>
  <c r="S12" i="1" s="1"/>
  <c r="G11" i="1"/>
  <c r="F11" i="1"/>
  <c r="O12" i="1" s="1"/>
  <c r="E11" i="1"/>
  <c r="N12" i="1" s="1"/>
  <c r="D11" i="1"/>
  <c r="M12" i="1" s="1"/>
  <c r="H11" i="1"/>
  <c r="Q12" i="1" s="1"/>
  <c r="P12" i="1"/>
  <c r="X9" i="3" l="1"/>
  <c r="X47" i="1"/>
  <c r="E47" i="1"/>
  <c r="N48" i="1" s="1"/>
  <c r="G47" i="1"/>
  <c r="P48" i="1" s="1"/>
  <c r="J47" i="1"/>
  <c r="S48" i="1" s="1"/>
  <c r="H47" i="1"/>
  <c r="Q48" i="1" s="1"/>
  <c r="K47" i="1"/>
  <c r="T48" i="1" s="1"/>
  <c r="F47" i="1"/>
  <c r="O48" i="1" s="1"/>
  <c r="I47" i="1"/>
  <c r="R48" i="1" s="1"/>
  <c r="D47" i="1"/>
  <c r="W11" i="1"/>
  <c r="I11" i="1"/>
  <c r="R12" i="1" s="1"/>
  <c r="K11" i="1"/>
  <c r="T12" i="1" s="1"/>
  <c r="Y9" i="3" l="1"/>
  <c r="Z9" i="3"/>
  <c r="J10" i="3"/>
  <c r="U10" i="3" s="1"/>
  <c r="F10" i="3"/>
  <c r="Q10" i="3" s="1"/>
  <c r="H10" i="3"/>
  <c r="S10" i="3" s="1"/>
  <c r="I10" i="3"/>
  <c r="T10" i="3" s="1"/>
  <c r="K10" i="3"/>
  <c r="V10" i="3" s="1"/>
  <c r="E10" i="3"/>
  <c r="P10" i="3" s="1"/>
  <c r="L10" i="3"/>
  <c r="W10" i="3" s="1"/>
  <c r="G10" i="3"/>
  <c r="R10" i="3" s="1"/>
  <c r="Y47" i="1"/>
  <c r="M48" i="1"/>
  <c r="U12" i="1"/>
  <c r="J12" i="1" s="1"/>
  <c r="S13" i="1" s="1"/>
  <c r="V11" i="1"/>
  <c r="K12" i="1"/>
  <c r="T13" i="1" s="1"/>
  <c r="X10" i="3" l="1"/>
  <c r="L11" i="3" s="1"/>
  <c r="W11" i="3" s="1"/>
  <c r="I11" i="3"/>
  <c r="T11" i="3" s="1"/>
  <c r="U48" i="1"/>
  <c r="E12" i="1"/>
  <c r="N13" i="1" s="1"/>
  <c r="F12" i="1"/>
  <c r="O13" i="1" s="1"/>
  <c r="W12" i="1"/>
  <c r="H12" i="1"/>
  <c r="Q13" i="1" s="1"/>
  <c r="M13" i="1"/>
  <c r="G12" i="1"/>
  <c r="P13" i="1" s="1"/>
  <c r="I12" i="1"/>
  <c r="R13" i="1" s="1"/>
  <c r="V12" i="1"/>
  <c r="Z10" i="3" l="1"/>
  <c r="Y10" i="3"/>
  <c r="G11" i="3"/>
  <c r="R11" i="3" s="1"/>
  <c r="J11" i="3"/>
  <c r="U11" i="3" s="1"/>
  <c r="K11" i="3"/>
  <c r="V11" i="3" s="1"/>
  <c r="H11" i="3"/>
  <c r="S11" i="3" s="1"/>
  <c r="E11" i="3"/>
  <c r="P11" i="3" s="1"/>
  <c r="F11" i="3"/>
  <c r="Q11" i="3" s="1"/>
  <c r="J48" i="1"/>
  <c r="S49" i="1" s="1"/>
  <c r="E48" i="1"/>
  <c r="N49" i="1" s="1"/>
  <c r="H48" i="1"/>
  <c r="Q49" i="1" s="1"/>
  <c r="F48" i="1"/>
  <c r="O49" i="1" s="1"/>
  <c r="K48" i="1"/>
  <c r="T49" i="1" s="1"/>
  <c r="G48" i="1"/>
  <c r="P49" i="1" s="1"/>
  <c r="I48" i="1"/>
  <c r="R49" i="1" s="1"/>
  <c r="D48" i="1"/>
  <c r="U13" i="1"/>
  <c r="X11" i="3" l="1"/>
  <c r="K12" i="3" s="1"/>
  <c r="V12" i="3" s="1"/>
  <c r="H12" i="3"/>
  <c r="S12" i="3" s="1"/>
  <c r="J12" i="3"/>
  <c r="U12" i="3" s="1"/>
  <c r="E12" i="3"/>
  <c r="P12" i="3" s="1"/>
  <c r="M49" i="1"/>
  <c r="Y48" i="1"/>
  <c r="G13" i="1"/>
  <c r="P14" i="1" s="1"/>
  <c r="E13" i="1"/>
  <c r="N14" i="1" s="1"/>
  <c r="D13" i="1"/>
  <c r="M14" i="1" s="1"/>
  <c r="H13" i="1"/>
  <c r="Q14" i="1" s="1"/>
  <c r="K13" i="1"/>
  <c r="T14" i="1" s="1"/>
  <c r="I13" i="1"/>
  <c r="R14" i="1" s="1"/>
  <c r="J13" i="1"/>
  <c r="S14" i="1" s="1"/>
  <c r="V13" i="1"/>
  <c r="F13" i="1"/>
  <c r="O14" i="1" s="1"/>
  <c r="U14" i="1" s="1"/>
  <c r="F12" i="3" l="1"/>
  <c r="Q12" i="3" s="1"/>
  <c r="G12" i="3"/>
  <c r="R12" i="3" s="1"/>
  <c r="Y11" i="3"/>
  <c r="Z11" i="3"/>
  <c r="I12" i="3"/>
  <c r="T12" i="3" s="1"/>
  <c r="L12" i="3"/>
  <c r="W12" i="3" s="1"/>
  <c r="U49" i="1"/>
  <c r="J14" i="1"/>
  <c r="S15" i="1" s="1"/>
  <c r="X14" i="1"/>
  <c r="D14" i="1"/>
  <c r="M15" i="1" s="1"/>
  <c r="I14" i="1"/>
  <c r="R15" i="1" s="1"/>
  <c r="H14" i="1"/>
  <c r="Q15" i="1" s="1"/>
  <c r="W14" i="1"/>
  <c r="E14" i="1"/>
  <c r="N15" i="1" s="1"/>
  <c r="F14" i="1"/>
  <c r="O15" i="1" s="1"/>
  <c r="K14" i="1"/>
  <c r="T15" i="1" s="1"/>
  <c r="G14" i="1"/>
  <c r="P15" i="1" s="1"/>
  <c r="X12" i="3" l="1"/>
  <c r="I13" i="3" s="1"/>
  <c r="T13" i="3" s="1"/>
  <c r="L13" i="3"/>
  <c r="W13" i="3" s="1"/>
  <c r="X49" i="1"/>
  <c r="H49" i="1"/>
  <c r="Q50" i="1" s="1"/>
  <c r="I49" i="1"/>
  <c r="R50" i="1" s="1"/>
  <c r="F49" i="1"/>
  <c r="O50" i="1" s="1"/>
  <c r="G49" i="1"/>
  <c r="P50" i="1" s="1"/>
  <c r="K49" i="1"/>
  <c r="T50" i="1" s="1"/>
  <c r="E49" i="1"/>
  <c r="N50" i="1" s="1"/>
  <c r="J49" i="1"/>
  <c r="S50" i="1" s="1"/>
  <c r="D49" i="1"/>
  <c r="U15" i="1"/>
  <c r="F15" i="1" s="1"/>
  <c r="O16" i="1" s="1"/>
  <c r="V14" i="1"/>
  <c r="Y12" i="3" l="1"/>
  <c r="Z12" i="3"/>
  <c r="K13" i="3"/>
  <c r="V13" i="3" s="1"/>
  <c r="J13" i="3"/>
  <c r="U13" i="3" s="1"/>
  <c r="F13" i="3"/>
  <c r="Q13" i="3" s="1"/>
  <c r="G13" i="3"/>
  <c r="R13" i="3" s="1"/>
  <c r="E13" i="3"/>
  <c r="P13" i="3" s="1"/>
  <c r="H13" i="3"/>
  <c r="S13" i="3" s="1"/>
  <c r="M50" i="1"/>
  <c r="Y49" i="1"/>
  <c r="D15" i="1"/>
  <c r="M16" i="1" s="1"/>
  <c r="U16" i="1" s="1"/>
  <c r="G15" i="1"/>
  <c r="P16" i="1" s="1"/>
  <c r="E15" i="1"/>
  <c r="N16" i="1" s="1"/>
  <c r="J15" i="1"/>
  <c r="S16" i="1" s="1"/>
  <c r="H15" i="1"/>
  <c r="Q16" i="1" s="1"/>
  <c r="I15" i="1"/>
  <c r="R16" i="1" s="1"/>
  <c r="X15" i="1"/>
  <c r="W15" i="1"/>
  <c r="V15" i="1" s="1"/>
  <c r="K15" i="1"/>
  <c r="T16" i="1" s="1"/>
  <c r="X13" i="3" l="1"/>
  <c r="F14" i="3" s="1"/>
  <c r="Q14" i="3" s="1"/>
  <c r="G14" i="3"/>
  <c r="R14" i="3" s="1"/>
  <c r="H14" i="3"/>
  <c r="S14" i="3" s="1"/>
  <c r="E14" i="3"/>
  <c r="P14" i="3" s="1"/>
  <c r="K14" i="3"/>
  <c r="V14" i="3" s="1"/>
  <c r="U50" i="1"/>
  <c r="G16" i="1"/>
  <c r="P17" i="1" s="1"/>
  <c r="X16" i="1"/>
  <c r="D16" i="1"/>
  <c r="M17" i="1" s="1"/>
  <c r="J16" i="1"/>
  <c r="S17" i="1" s="1"/>
  <c r="F16" i="1"/>
  <c r="O17" i="1" s="1"/>
  <c r="H16" i="1"/>
  <c r="Q17" i="1" s="1"/>
  <c r="W16" i="1"/>
  <c r="I16" i="1"/>
  <c r="R17" i="1" s="1"/>
  <c r="E16" i="1"/>
  <c r="N17" i="1" s="1"/>
  <c r="K16" i="1"/>
  <c r="T17" i="1" s="1"/>
  <c r="J14" i="3" l="1"/>
  <c r="U14" i="3" s="1"/>
  <c r="Y13" i="3"/>
  <c r="Z13" i="3"/>
  <c r="I14" i="3"/>
  <c r="T14" i="3" s="1"/>
  <c r="L14" i="3"/>
  <c r="W14" i="3" s="1"/>
  <c r="X50" i="1"/>
  <c r="F50" i="1"/>
  <c r="O51" i="1" s="1"/>
  <c r="H50" i="1"/>
  <c r="Q51" i="1" s="1"/>
  <c r="G50" i="1"/>
  <c r="P51" i="1" s="1"/>
  <c r="E50" i="1"/>
  <c r="N51" i="1" s="1"/>
  <c r="K50" i="1"/>
  <c r="T51" i="1" s="1"/>
  <c r="I50" i="1"/>
  <c r="R51" i="1" s="1"/>
  <c r="J50" i="1"/>
  <c r="S51" i="1" s="1"/>
  <c r="D50" i="1"/>
  <c r="V16" i="1"/>
  <c r="U17" i="1"/>
  <c r="X14" i="3" l="1"/>
  <c r="Z14" i="3" s="1"/>
  <c r="Y14" i="3"/>
  <c r="H15" i="3"/>
  <c r="S15" i="3" s="1"/>
  <c r="F15" i="3"/>
  <c r="Q15" i="3" s="1"/>
  <c r="E15" i="3"/>
  <c r="P15" i="3" s="1"/>
  <c r="I15" i="3"/>
  <c r="T15" i="3" s="1"/>
  <c r="K15" i="3"/>
  <c r="V15" i="3" s="1"/>
  <c r="G15" i="3"/>
  <c r="R15" i="3" s="1"/>
  <c r="J15" i="3"/>
  <c r="U15" i="3" s="1"/>
  <c r="Y50" i="1"/>
  <c r="M51" i="1"/>
  <c r="K17" i="1"/>
  <c r="T18" i="1" s="1"/>
  <c r="X17" i="1"/>
  <c r="E17" i="1"/>
  <c r="N18" i="1" s="1"/>
  <c r="I17" i="1"/>
  <c r="R18" i="1" s="1"/>
  <c r="W17" i="1"/>
  <c r="H17" i="1"/>
  <c r="Q18" i="1" s="1"/>
  <c r="D17" i="1"/>
  <c r="M18" i="1" s="1"/>
  <c r="J17" i="1"/>
  <c r="S18" i="1" s="1"/>
  <c r="F17" i="1"/>
  <c r="O18" i="1" s="1"/>
  <c r="G17" i="1"/>
  <c r="P18" i="1" s="1"/>
  <c r="L15" i="3" l="1"/>
  <c r="W15" i="3" s="1"/>
  <c r="X15" i="3"/>
  <c r="H16" i="3" s="1"/>
  <c r="S16" i="3" s="1"/>
  <c r="U51" i="1"/>
  <c r="V17" i="1"/>
  <c r="U18" i="1"/>
  <c r="J16" i="3" l="1"/>
  <c r="U16" i="3" s="1"/>
  <c r="F16" i="3"/>
  <c r="Q16" i="3" s="1"/>
  <c r="W16" i="3"/>
  <c r="G16" i="3"/>
  <c r="R16" i="3" s="1"/>
  <c r="Y15" i="3"/>
  <c r="Z15" i="3"/>
  <c r="I16" i="3"/>
  <c r="T16" i="3" s="1"/>
  <c r="K16" i="3"/>
  <c r="V16" i="3" s="1"/>
  <c r="X51" i="1"/>
  <c r="G51" i="1"/>
  <c r="P52" i="1" s="1"/>
  <c r="F51" i="1"/>
  <c r="O52" i="1" s="1"/>
  <c r="E51" i="1"/>
  <c r="N52" i="1" s="1"/>
  <c r="I51" i="1"/>
  <c r="R52" i="1" s="1"/>
  <c r="K51" i="1"/>
  <c r="T52" i="1" s="1"/>
  <c r="H51" i="1"/>
  <c r="Q52" i="1" s="1"/>
  <c r="J51" i="1"/>
  <c r="S52" i="1" s="1"/>
  <c r="D51" i="1"/>
  <c r="G18" i="1"/>
  <c r="P19" i="1" s="1"/>
  <c r="X18" i="1"/>
  <c r="H18" i="1"/>
  <c r="Q19" i="1" s="1"/>
  <c r="W18" i="1"/>
  <c r="K18" i="1"/>
  <c r="T19" i="1" s="1"/>
  <c r="I18" i="1"/>
  <c r="R19" i="1" s="1"/>
  <c r="E18" i="1"/>
  <c r="N19" i="1" s="1"/>
  <c r="J18" i="1"/>
  <c r="S19" i="1" s="1"/>
  <c r="D18" i="1"/>
  <c r="M19" i="1" s="1"/>
  <c r="F18" i="1"/>
  <c r="O19" i="1" s="1"/>
  <c r="X16" i="3" l="1"/>
  <c r="Z16" i="3" s="1"/>
  <c r="Y16" i="3"/>
  <c r="Y51" i="1"/>
  <c r="M52" i="1"/>
  <c r="U19" i="1"/>
  <c r="D19" i="1" s="1"/>
  <c r="M20" i="1" s="1"/>
  <c r="V18" i="1"/>
  <c r="E19" i="1"/>
  <c r="N20" i="1" s="1"/>
  <c r="U52" i="1" l="1"/>
  <c r="I19" i="1"/>
  <c r="R20" i="1" s="1"/>
  <c r="X19" i="1"/>
  <c r="J19" i="1"/>
  <c r="S20" i="1" s="1"/>
  <c r="K19" i="1"/>
  <c r="T20" i="1" s="1"/>
  <c r="F19" i="1"/>
  <c r="O20" i="1" s="1"/>
  <c r="H19" i="1"/>
  <c r="Q20" i="1" s="1"/>
  <c r="W19" i="1"/>
  <c r="G19" i="1"/>
  <c r="P20" i="1" s="1"/>
  <c r="X52" i="1" l="1"/>
  <c r="E52" i="1"/>
  <c r="N53" i="1" s="1"/>
  <c r="G52" i="1"/>
  <c r="P53" i="1" s="1"/>
  <c r="I52" i="1"/>
  <c r="R53" i="1" s="1"/>
  <c r="H52" i="1"/>
  <c r="Q53" i="1" s="1"/>
  <c r="K52" i="1"/>
  <c r="T53" i="1" s="1"/>
  <c r="F52" i="1"/>
  <c r="O53" i="1" s="1"/>
  <c r="J52" i="1"/>
  <c r="S53" i="1" s="1"/>
  <c r="D52" i="1"/>
  <c r="V19" i="1"/>
  <c r="U20" i="1"/>
  <c r="Y52" i="1" l="1"/>
  <c r="M53" i="1"/>
  <c r="G20" i="1"/>
  <c r="P21" i="1" s="1"/>
  <c r="X20" i="1"/>
  <c r="W20" i="1"/>
  <c r="F20" i="1"/>
  <c r="O21" i="1" s="1"/>
  <c r="I20" i="1"/>
  <c r="R21" i="1" s="1"/>
  <c r="E20" i="1"/>
  <c r="N21" i="1" s="1"/>
  <c r="D20" i="1"/>
  <c r="M21" i="1" s="1"/>
  <c r="K20" i="1"/>
  <c r="T21" i="1" s="1"/>
  <c r="J20" i="1"/>
  <c r="S21" i="1" s="1"/>
  <c r="H20" i="1"/>
  <c r="Q21" i="1" s="1"/>
  <c r="U53" i="1" l="1"/>
  <c r="U21" i="1"/>
  <c r="V20" i="1"/>
  <c r="X53" i="1" l="1"/>
  <c r="I53" i="1"/>
  <c r="J53" i="1"/>
  <c r="H53" i="1"/>
  <c r="F53" i="1"/>
  <c r="K53" i="1"/>
  <c r="G53" i="1"/>
  <c r="E53" i="1"/>
  <c r="D53" i="1"/>
  <c r="W21" i="1"/>
  <c r="X21" i="1"/>
  <c r="J21" i="1"/>
  <c r="S22" i="1" s="1"/>
  <c r="F21" i="1"/>
  <c r="O22" i="1" s="1"/>
  <c r="E21" i="1"/>
  <c r="N22" i="1" s="1"/>
  <c r="K21" i="1"/>
  <c r="T22" i="1" s="1"/>
  <c r="H21" i="1"/>
  <c r="Q22" i="1" s="1"/>
  <c r="G21" i="1"/>
  <c r="P22" i="1" s="1"/>
  <c r="I21" i="1"/>
  <c r="R22" i="1" s="1"/>
  <c r="D21" i="1"/>
  <c r="M22" i="1" s="1"/>
  <c r="Y53" i="1" l="1"/>
  <c r="U22" i="1"/>
  <c r="F22" i="1" s="1"/>
  <c r="O23" i="1" s="1"/>
  <c r="V21" i="1"/>
  <c r="I22" i="1" l="1"/>
  <c r="R23" i="1" s="1"/>
  <c r="H22" i="1"/>
  <c r="Q23" i="1" s="1"/>
  <c r="D22" i="1"/>
  <c r="M23" i="1" s="1"/>
  <c r="U23" i="1" s="1"/>
  <c r="E22" i="1"/>
  <c r="N23" i="1" s="1"/>
  <c r="K22" i="1"/>
  <c r="T23" i="1" s="1"/>
  <c r="W22" i="1"/>
  <c r="V22" i="1" s="1"/>
  <c r="X22" i="1"/>
  <c r="G22" i="1"/>
  <c r="P23" i="1" s="1"/>
  <c r="J22" i="1"/>
  <c r="S23" i="1" s="1"/>
  <c r="D23" i="1" l="1"/>
  <c r="M24" i="1" s="1"/>
  <c r="U24" i="1" s="1"/>
  <c r="H23" i="1"/>
  <c r="Q24" i="1" s="1"/>
  <c r="F23" i="1"/>
  <c r="O24" i="1" s="1"/>
  <c r="E23" i="1"/>
  <c r="N24" i="1" s="1"/>
  <c r="G23" i="1"/>
  <c r="P24" i="1" s="1"/>
  <c r="J23" i="1"/>
  <c r="S24" i="1" s="1"/>
  <c r="X23" i="1"/>
  <c r="W23" i="1"/>
  <c r="I23" i="1"/>
  <c r="R24" i="1" s="1"/>
  <c r="K23" i="1"/>
  <c r="T24" i="1" s="1"/>
  <c r="F24" i="1" l="1"/>
  <c r="O25" i="1" s="1"/>
  <c r="E24" i="1"/>
  <c r="N25" i="1" s="1"/>
  <c r="H24" i="1"/>
  <c r="Q25" i="1" s="1"/>
  <c r="G24" i="1"/>
  <c r="P25" i="1" s="1"/>
  <c r="U25" i="1" s="1"/>
  <c r="I24" i="1"/>
  <c r="R25" i="1" s="1"/>
  <c r="D24" i="1"/>
  <c r="M25" i="1" s="1"/>
  <c r="K24" i="1"/>
  <c r="T25" i="1" s="1"/>
  <c r="J24" i="1"/>
  <c r="S25" i="1" s="1"/>
  <c r="V23" i="1"/>
  <c r="W24" i="1"/>
  <c r="X24" i="1"/>
  <c r="K25" i="1" l="1"/>
  <c r="T26" i="1" s="1"/>
  <c r="H25" i="1"/>
  <c r="Q26" i="1" s="1"/>
  <c r="I25" i="1"/>
  <c r="R26" i="1" s="1"/>
  <c r="V24" i="1"/>
  <c r="J25" i="1"/>
  <c r="S26" i="1" s="1"/>
  <c r="X25" i="1"/>
  <c r="W25" i="1"/>
  <c r="F25" i="1"/>
  <c r="O26" i="1" s="1"/>
  <c r="G25" i="1"/>
  <c r="P26" i="1" s="1"/>
  <c r="D25" i="1"/>
  <c r="M26" i="1" s="1"/>
  <c r="E25" i="1"/>
  <c r="N26" i="1" s="1"/>
  <c r="U26" i="1" l="1"/>
  <c r="D26" i="1" s="1"/>
  <c r="M27" i="1" s="1"/>
  <c r="V25" i="1"/>
  <c r="G26" i="1"/>
  <c r="P27" i="1" s="1"/>
  <c r="J26" i="1"/>
  <c r="S27" i="1" s="1"/>
  <c r="F26" i="1"/>
  <c r="O27" i="1" s="1"/>
  <c r="E26" i="1" l="1"/>
  <c r="N27" i="1" s="1"/>
  <c r="U27" i="1" s="1"/>
  <c r="I26" i="1"/>
  <c r="R27" i="1" s="1"/>
  <c r="X26" i="1"/>
  <c r="W26" i="1"/>
  <c r="H26" i="1"/>
  <c r="Q27" i="1" s="1"/>
  <c r="K26" i="1"/>
  <c r="T27" i="1" s="1"/>
  <c r="F27" i="1" l="1"/>
  <c r="O28" i="1" s="1"/>
  <c r="D27" i="1"/>
  <c r="M28" i="1" s="1"/>
  <c r="I27" i="1"/>
  <c r="R28" i="1" s="1"/>
  <c r="V26" i="1"/>
  <c r="H27" i="1"/>
  <c r="Q28" i="1" s="1"/>
  <c r="K27" i="1"/>
  <c r="T28" i="1" s="1"/>
  <c r="E27" i="1"/>
  <c r="N28" i="1" s="1"/>
  <c r="U28" i="1" s="1"/>
  <c r="W27" i="1"/>
  <c r="X27" i="1"/>
  <c r="J27" i="1"/>
  <c r="S28" i="1" s="1"/>
  <c r="G27" i="1"/>
  <c r="P28" i="1" s="1"/>
  <c r="F28" i="1" l="1"/>
  <c r="O29" i="1" s="1"/>
  <c r="K28" i="1"/>
  <c r="T29" i="1" s="1"/>
  <c r="D28" i="1"/>
  <c r="M29" i="1" s="1"/>
  <c r="H28" i="1"/>
  <c r="Q29" i="1" s="1"/>
  <c r="I28" i="1"/>
  <c r="R29" i="1" s="1"/>
  <c r="J28" i="1"/>
  <c r="S29" i="1" s="1"/>
  <c r="V27" i="1"/>
  <c r="G28" i="1"/>
  <c r="P29" i="1" s="1"/>
  <c r="U29" i="1" s="1"/>
  <c r="E28" i="1"/>
  <c r="N29" i="1" s="1"/>
  <c r="X28" i="1"/>
  <c r="W28" i="1"/>
  <c r="F29" i="1" l="1"/>
  <c r="O30" i="1" s="1"/>
  <c r="I29" i="1"/>
  <c r="R30" i="1" s="1"/>
  <c r="J29" i="1"/>
  <c r="S30" i="1" s="1"/>
  <c r="D29" i="1"/>
  <c r="M30" i="1" s="1"/>
  <c r="U30" i="1" s="1"/>
  <c r="H29" i="1"/>
  <c r="Q30" i="1" s="1"/>
  <c r="V28" i="1"/>
  <c r="G29" i="1"/>
  <c r="P30" i="1" s="1"/>
  <c r="E29" i="1"/>
  <c r="N30" i="1" s="1"/>
  <c r="W29" i="1"/>
  <c r="K29" i="1"/>
  <c r="T30" i="1" s="1"/>
  <c r="I30" i="1" l="1"/>
  <c r="H30" i="1"/>
  <c r="F30" i="1"/>
  <c r="V29" i="1"/>
  <c r="D30" i="1"/>
  <c r="E30" i="1"/>
  <c r="X30" i="1"/>
  <c r="W30" i="1"/>
  <c r="V30" i="1" s="1"/>
  <c r="K30" i="1"/>
  <c r="G30" i="1"/>
  <c r="J30" i="1"/>
</calcChain>
</file>

<file path=xl/sharedStrings.xml><?xml version="1.0" encoding="utf-8"?>
<sst xmlns="http://schemas.openxmlformats.org/spreadsheetml/2006/main" count="136" uniqueCount="52">
  <si>
    <t>durata</t>
  </si>
  <si>
    <t>num trx</t>
  </si>
  <si>
    <t>busy t</t>
  </si>
  <si>
    <t>utenti</t>
  </si>
  <si>
    <t>resp t</t>
  </si>
  <si>
    <t>disco1</t>
  </si>
  <si>
    <t>disco2</t>
  </si>
  <si>
    <t>disco3</t>
  </si>
  <si>
    <t>disco4</t>
  </si>
  <si>
    <t>disco5</t>
  </si>
  <si>
    <t>disco6</t>
  </si>
  <si>
    <t>disco7</t>
  </si>
  <si>
    <t>serv dischi (ms.) --- I/O per sec</t>
  </si>
  <si>
    <t>trx/sec</t>
  </si>
  <si>
    <t>ut CPU</t>
  </si>
  <si>
    <t>domande</t>
  </si>
  <si>
    <t>utilizzi</t>
  </si>
  <si>
    <t>Z</t>
  </si>
  <si>
    <t>Dtot</t>
  </si>
  <si>
    <t>MVA</t>
  </si>
  <si>
    <t>N</t>
  </si>
  <si>
    <t>code</t>
  </si>
  <si>
    <t>CPU</t>
  </si>
  <si>
    <t>resp</t>
  </si>
  <si>
    <t>Rtot</t>
  </si>
  <si>
    <t>controllo</t>
  </si>
  <si>
    <t>X</t>
  </si>
  <si>
    <t>Xmax</t>
  </si>
  <si>
    <t>ut CPU con N = 222</t>
  </si>
  <si>
    <t>MaxD</t>
  </si>
  <si>
    <t>Modello interno</t>
  </si>
  <si>
    <t>Ni</t>
  </si>
  <si>
    <t>Davg</t>
  </si>
  <si>
    <t>N*</t>
  </si>
  <si>
    <t>N+</t>
  </si>
  <si>
    <t>asintotico</t>
  </si>
  <si>
    <t xml:space="preserve">X </t>
  </si>
  <si>
    <t>R</t>
  </si>
  <si>
    <t>bilanciato</t>
  </si>
  <si>
    <t>Xm</t>
  </si>
  <si>
    <t>XM</t>
  </si>
  <si>
    <t>Rm</t>
  </si>
  <si>
    <t>RM</t>
  </si>
  <si>
    <t>algoritmo iterativo</t>
  </si>
  <si>
    <t>terminali</t>
  </si>
  <si>
    <t>C time</t>
  </si>
  <si>
    <t>response time</t>
  </si>
  <si>
    <t>(N-1)/N</t>
  </si>
  <si>
    <t>lunghezza  code</t>
  </si>
  <si>
    <t>Ut CPU</t>
  </si>
  <si>
    <t>iterazione</t>
  </si>
  <si>
    <t>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</si>
</sst>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A20" zoomScale="83" zoomScaleNormal="83" workbookViewId="0">
      <selection activeCell="C2" sqref="C2"/>
    </sheetView>
  </sheetViews>
  <sheetFormatPr defaultRowHeight="14.4" x14ac:dyDescent="0.3"/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1" t="s">
        <v>12</v>
      </c>
      <c r="G1" s="32"/>
      <c r="H1" s="32"/>
      <c r="I1" s="32"/>
      <c r="J1" s="32"/>
      <c r="K1" s="32"/>
      <c r="L1" s="33"/>
    </row>
    <row r="2" spans="1:24" x14ac:dyDescent="0.3">
      <c r="A2" s="29" t="s">
        <v>51</v>
      </c>
      <c r="B2" s="1" t="s">
        <v>13</v>
      </c>
      <c r="C2" s="29" t="s">
        <v>51</v>
      </c>
      <c r="D2" s="9">
        <v>76.3</v>
      </c>
      <c r="E2" s="9">
        <v>0.32500000000000001</v>
      </c>
      <c r="F2" s="10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2" t="s">
        <v>11</v>
      </c>
    </row>
    <row r="3" spans="1:24" x14ac:dyDescent="0.3">
      <c r="D3" s="9"/>
      <c r="E3" s="9"/>
      <c r="F3" s="9">
        <v>4</v>
      </c>
      <c r="G3" s="9">
        <v>4</v>
      </c>
      <c r="H3" s="9">
        <v>4</v>
      </c>
      <c r="I3" s="9">
        <v>11</v>
      </c>
      <c r="J3" s="9">
        <v>7</v>
      </c>
      <c r="K3" s="9">
        <v>8</v>
      </c>
      <c r="L3" s="9">
        <v>6</v>
      </c>
      <c r="R3" s="36" t="s">
        <v>28</v>
      </c>
      <c r="S3" s="36"/>
    </row>
    <row r="4" spans="1:24" x14ac:dyDescent="0.3">
      <c r="A4" s="9">
        <v>3600</v>
      </c>
      <c r="B4" s="9">
        <v>12574</v>
      </c>
      <c r="C4" s="9">
        <v>878.8</v>
      </c>
      <c r="D4" s="9"/>
      <c r="E4" s="9"/>
      <c r="F4" s="9">
        <v>20.3</v>
      </c>
      <c r="G4" s="9">
        <v>14.31</v>
      </c>
      <c r="H4" s="9">
        <v>3.4</v>
      </c>
      <c r="I4" s="9">
        <v>19.04</v>
      </c>
      <c r="J4" s="9">
        <v>29.06</v>
      </c>
      <c r="K4" s="9">
        <v>3.86</v>
      </c>
      <c r="L4" s="9">
        <v>14.26</v>
      </c>
      <c r="S4">
        <f>X38*E8</f>
        <v>0.70114834162138506</v>
      </c>
    </row>
    <row r="5" spans="1:24" x14ac:dyDescent="0.3">
      <c r="B5">
        <f>B4/A4</f>
        <v>3.492777777777778</v>
      </c>
      <c r="E5" s="4" t="s">
        <v>14</v>
      </c>
      <c r="F5" s="34" t="s">
        <v>16</v>
      </c>
      <c r="G5" s="34"/>
      <c r="H5" s="34"/>
      <c r="I5" s="34"/>
      <c r="J5" s="34"/>
      <c r="K5" s="34"/>
      <c r="L5" s="35"/>
    </row>
    <row r="6" spans="1:24" x14ac:dyDescent="0.3">
      <c r="E6">
        <f>C4/A4</f>
        <v>0.24411111111111111</v>
      </c>
      <c r="F6">
        <f>F3*F4/1000</f>
        <v>8.1200000000000008E-2</v>
      </c>
      <c r="G6">
        <f t="shared" ref="G6:L6" si="0">G3*G4/1000</f>
        <v>5.7239999999999999E-2</v>
      </c>
      <c r="H6">
        <f t="shared" si="0"/>
        <v>1.3599999999999999E-2</v>
      </c>
      <c r="I6">
        <f t="shared" si="0"/>
        <v>0.20943999999999999</v>
      </c>
      <c r="J6">
        <f t="shared" si="0"/>
        <v>0.20341999999999999</v>
      </c>
      <c r="K6">
        <f t="shared" si="0"/>
        <v>3.0879999999999998E-2</v>
      </c>
      <c r="L6">
        <f t="shared" si="0"/>
        <v>8.5559999999999997E-2</v>
      </c>
    </row>
    <row r="7" spans="1:24" x14ac:dyDescent="0.3">
      <c r="A7" s="1" t="s">
        <v>17</v>
      </c>
      <c r="E7" s="30" t="s">
        <v>15</v>
      </c>
      <c r="F7" s="30"/>
      <c r="M7" s="1" t="s">
        <v>18</v>
      </c>
      <c r="N7" s="1" t="s">
        <v>29</v>
      </c>
      <c r="P7" s="1" t="s">
        <v>27</v>
      </c>
    </row>
    <row r="8" spans="1:24" x14ac:dyDescent="0.3">
      <c r="A8" s="2">
        <f>D2/B5-E2</f>
        <v>21.520077143311592</v>
      </c>
      <c r="E8" s="2">
        <f>E6/$B$5</f>
        <v>6.989024972164784E-2</v>
      </c>
      <c r="F8" s="2">
        <f t="shared" ref="F8:L8" si="1">F6/$B$5</f>
        <v>2.3247972005726102E-2</v>
      </c>
      <c r="G8" s="2">
        <f t="shared" si="1"/>
        <v>1.6388102433593128E-2</v>
      </c>
      <c r="H8" s="2">
        <f t="shared" si="1"/>
        <v>3.8937490058851593E-3</v>
      </c>
      <c r="I8" s="2">
        <f t="shared" si="1"/>
        <v>5.9963734690631453E-2</v>
      </c>
      <c r="J8" s="2">
        <f t="shared" si="1"/>
        <v>5.8240178145379351E-2</v>
      </c>
      <c r="K8" s="2">
        <f t="shared" si="1"/>
        <v>8.8411006839510097E-3</v>
      </c>
      <c r="L8" s="2">
        <f t="shared" si="1"/>
        <v>2.4496262128201048E-2</v>
      </c>
      <c r="M8" s="3">
        <f>SUM(E8:L8)</f>
        <v>0.2649613488150151</v>
      </c>
      <c r="N8">
        <f>MAX(E8:L8)</f>
        <v>6.989024972164784E-2</v>
      </c>
      <c r="P8">
        <f>1/N8</f>
        <v>14.308147473827947</v>
      </c>
    </row>
    <row r="9" spans="1:24" x14ac:dyDescent="0.3">
      <c r="V9" s="36" t="s">
        <v>25</v>
      </c>
      <c r="W9" s="36"/>
    </row>
    <row r="10" spans="1:24" x14ac:dyDescent="0.3">
      <c r="A10" s="1" t="s">
        <v>19</v>
      </c>
      <c r="B10" s="1" t="s">
        <v>20</v>
      </c>
      <c r="C10" s="7" t="s">
        <v>21</v>
      </c>
      <c r="D10" s="8" t="s">
        <v>22</v>
      </c>
      <c r="E10" s="4" t="s">
        <v>5</v>
      </c>
      <c r="F10" s="5" t="s">
        <v>6</v>
      </c>
      <c r="G10" s="5" t="s">
        <v>7</v>
      </c>
      <c r="H10" s="5" t="s">
        <v>8</v>
      </c>
      <c r="I10" s="5" t="s">
        <v>9</v>
      </c>
      <c r="J10" s="5" t="s">
        <v>10</v>
      </c>
      <c r="K10" s="6" t="s">
        <v>11</v>
      </c>
      <c r="L10" s="8" t="s">
        <v>23</v>
      </c>
      <c r="M10" s="8" t="s">
        <v>22</v>
      </c>
      <c r="N10" s="4" t="s">
        <v>5</v>
      </c>
      <c r="O10" s="5" t="s">
        <v>6</v>
      </c>
      <c r="P10" s="5" t="s">
        <v>7</v>
      </c>
      <c r="Q10" s="5" t="s">
        <v>8</v>
      </c>
      <c r="R10" s="5" t="s">
        <v>9</v>
      </c>
      <c r="S10" s="5" t="s">
        <v>10</v>
      </c>
      <c r="T10" s="6" t="s">
        <v>11</v>
      </c>
      <c r="U10" s="15" t="s">
        <v>24</v>
      </c>
      <c r="X10" s="8" t="s">
        <v>26</v>
      </c>
    </row>
    <row r="11" spans="1:24" x14ac:dyDescent="0.3">
      <c r="B11" s="24">
        <v>1</v>
      </c>
      <c r="C11" s="24"/>
      <c r="D11" s="24">
        <f>$B11*M11/($U11+$A$8)</f>
        <v>3.2081765541477963E-3</v>
      </c>
      <c r="E11" s="24">
        <f t="shared" ref="E11:K11" si="2">$B11*N11/($U11+$A$8)</f>
        <v>1.0671531296182111E-3</v>
      </c>
      <c r="F11" s="24">
        <f t="shared" si="2"/>
        <v>7.5226410270131034E-4</v>
      </c>
      <c r="G11" s="24">
        <f t="shared" si="2"/>
        <v>1.7873500693112892E-4</v>
      </c>
      <c r="H11" s="24">
        <f t="shared" si="2"/>
        <v>2.7525191067393853E-3</v>
      </c>
      <c r="I11" s="24">
        <f t="shared" si="2"/>
        <v>2.6734025816125182E-3</v>
      </c>
      <c r="J11" s="24">
        <f t="shared" si="2"/>
        <v>4.0583360397303394E-4</v>
      </c>
      <c r="K11" s="24">
        <f t="shared" si="2"/>
        <v>1.1244534700755435E-3</v>
      </c>
      <c r="L11" s="24"/>
      <c r="M11" s="24">
        <f>E8</f>
        <v>6.989024972164784E-2</v>
      </c>
      <c r="N11" s="24">
        <f t="shared" ref="N11:T11" si="3">F8</f>
        <v>2.3247972005726102E-2</v>
      </c>
      <c r="O11" s="24">
        <f t="shared" si="3"/>
        <v>1.6388102433593128E-2</v>
      </c>
      <c r="P11" s="24">
        <f t="shared" si="3"/>
        <v>3.8937490058851593E-3</v>
      </c>
      <c r="Q11" s="24">
        <f t="shared" si="3"/>
        <v>5.9963734690631453E-2</v>
      </c>
      <c r="R11" s="24">
        <f t="shared" si="3"/>
        <v>5.8240178145379351E-2</v>
      </c>
      <c r="S11" s="24">
        <f t="shared" si="3"/>
        <v>8.8411006839510097E-3</v>
      </c>
      <c r="T11" s="24">
        <f t="shared" si="3"/>
        <v>2.4496262128201048E-2</v>
      </c>
      <c r="U11" s="3">
        <f>SUM(M11:T11)</f>
        <v>0.2649613488150151</v>
      </c>
      <c r="V11" s="24">
        <f>W11+SUM(D11:K11)</f>
        <v>1</v>
      </c>
      <c r="W11" s="24">
        <f>B11*$A$8/($A$8+U11)</f>
        <v>0.98783746244420112</v>
      </c>
      <c r="X11" s="24">
        <f>B11/(U11+$A$8)</f>
        <v>4.5903063258823845E-2</v>
      </c>
    </row>
    <row r="12" spans="1:24" x14ac:dyDescent="0.3">
      <c r="B12" s="24">
        <v>2</v>
      </c>
      <c r="C12" s="24"/>
      <c r="D12" s="24">
        <f>$B12*M12/($U12+$A$8)</f>
        <v>6.4367565038075071E-3</v>
      </c>
      <c r="E12" s="24">
        <f t="shared" ref="E12" si="4">$B12*N12/($U12+$A$8)</f>
        <v>2.1365236801860572E-3</v>
      </c>
      <c r="F12" s="24">
        <f t="shared" ref="F12" si="5">$B12*O12/($U12+$A$8)</f>
        <v>1.5056175772516283E-3</v>
      </c>
      <c r="G12" s="24">
        <f>$B12*P12/($U12+$A$8)</f>
        <v>3.5752383067428961E-4</v>
      </c>
      <c r="H12" s="24">
        <f t="shared" ref="H12" si="6">$B12*Q12/($U12+$A$8)</f>
        <v>5.5200353729191239E-3</v>
      </c>
      <c r="I12" s="24">
        <f t="shared" ref="I12" si="7">$B12*R12/($U12+$A$8)</f>
        <v>5.3609482458558885E-3</v>
      </c>
      <c r="J12" s="24">
        <f t="shared" ref="J12" si="8">$B12*S12/($U12+$A$8)</f>
        <v>8.1197372705599257E-4</v>
      </c>
      <c r="K12" s="24">
        <f t="shared" ref="K12" si="9">$B12*T12/($U12+$A$8)</f>
        <v>2.2513722840919966E-3</v>
      </c>
      <c r="L12" s="24"/>
      <c r="M12" s="24">
        <f>E$8*(1+D11)</f>
        <v>7.0114469982168373E-2</v>
      </c>
      <c r="N12" s="24">
        <f t="shared" ref="N12:Q12" si="10">F$8*(1+E11)</f>
        <v>2.327278115180929E-2</v>
      </c>
      <c r="O12" s="24">
        <f t="shared" si="10"/>
        <v>1.6400430614765312E-2</v>
      </c>
      <c r="P12" s="24">
        <f t="shared" si="10"/>
        <v>3.8944449551407143E-3</v>
      </c>
      <c r="Q12" s="24">
        <f t="shared" si="10"/>
        <v>6.0128786016078871E-2</v>
      </c>
      <c r="R12" s="24">
        <f>J$8*(1+I11)</f>
        <v>5.8395877587986776E-2</v>
      </c>
      <c r="S12" s="24">
        <f>K$8*(1+J11)</f>
        <v>8.8446886997046656E-3</v>
      </c>
      <c r="T12" s="24">
        <f>L$8*(1+K11)</f>
        <v>2.4523807035154985E-2</v>
      </c>
      <c r="U12" s="3">
        <f>SUM(M12:T12)</f>
        <v>0.265575286042809</v>
      </c>
      <c r="V12" s="24">
        <f>W12+SUM(D12:K12)</f>
        <v>2</v>
      </c>
      <c r="W12" s="24">
        <f>B12*$A$8/($A$8+U12)</f>
        <v>1.9756192487781576</v>
      </c>
      <c r="X12" s="24">
        <f t="shared" ref="X12:X20" si="11">B12/(U12+$A$8)</f>
        <v>9.1803539347077912E-2</v>
      </c>
    </row>
    <row r="13" spans="1:24" x14ac:dyDescent="0.3">
      <c r="B13" s="24">
        <v>3</v>
      </c>
      <c r="C13" s="24"/>
      <c r="D13" s="24">
        <f t="shared" ref="D13:D20" si="12">$B13*M13/($U13+$A$8)</f>
        <v>9.6859330270881588E-3</v>
      </c>
      <c r="E13" s="24">
        <f t="shared" ref="E13:E20" si="13">$B13*N13/($U13+$A$8)</f>
        <v>3.2081180795826268E-3</v>
      </c>
      <c r="F13" s="24">
        <f t="shared" ref="F13:F20" si="14">$B13*O13/($U13+$A$8)</f>
        <v>2.2600624494666611E-3</v>
      </c>
      <c r="G13" s="24">
        <f t="shared" ref="G13:G20" si="15">$B13*P13/($U13+$A$8)</f>
        <v>5.3636641474143958E-4</v>
      </c>
      <c r="H13" s="24">
        <f t="shared" ref="H13:H20" si="16">$B13*Q13/($U13+$A$8)</f>
        <v>8.3026701129607257E-3</v>
      </c>
      <c r="I13" s="24">
        <f t="shared" ref="I13:I20" si="17">$B13*R13/($U13+$A$8)</f>
        <v>8.0627480066388993E-3</v>
      </c>
      <c r="J13" s="24">
        <f t="shared" ref="J13:J20" si="18">$B13*S13/($U13+$A$8)</f>
        <v>1.2184205329696688E-3</v>
      </c>
      <c r="K13" s="24">
        <f t="shared" ref="K13:K20" si="19">$B13*T13/($U13+$A$8)</f>
        <v>3.3807640404050509E-3</v>
      </c>
      <c r="L13" s="24"/>
      <c r="M13" s="24">
        <f t="shared" ref="M13:M20" si="20">E$8*(1+D12)</f>
        <v>7.0340116241096387E-2</v>
      </c>
      <c r="N13" s="24">
        <f t="shared" ref="N13:N20" si="21">F$8*(1+E12)</f>
        <v>2.3297641848432638E-2</v>
      </c>
      <c r="O13" s="24">
        <f t="shared" ref="O13:O20" si="22">G$8*(1+F12)</f>
        <v>1.6412776648674948E-2</v>
      </c>
      <c r="P13" s="24">
        <f t="shared" ref="P13:P20" si="23">H$8*(1+G12)</f>
        <v>3.8951411139454277E-3</v>
      </c>
      <c r="Q13" s="24">
        <f t="shared" ref="Q13:Q20" si="24">I$8*(1+H12)</f>
        <v>6.0294736627216079E-2</v>
      </c>
      <c r="R13" s="24">
        <f t="shared" ref="R13:R20" si="25">J$8*(1+I12)</f>
        <v>5.8552400726246158E-2</v>
      </c>
      <c r="S13" s="24">
        <f t="shared" ref="S13:S20" si="26">K$8*(1+J12)</f>
        <v>8.8482794254246353E-3</v>
      </c>
      <c r="T13" s="24">
        <f t="shared" ref="T13:T20" si="27">L$8*(1+K12)</f>
        <v>2.4551412333820334E-2</v>
      </c>
      <c r="U13" s="3">
        <f t="shared" ref="U13:U20" si="28">SUM(M13:T13)</f>
        <v>0.26619250496485658</v>
      </c>
      <c r="V13" s="24">
        <f t="shared" ref="V13:V20" si="29">W13+SUM(D13:K13)</f>
        <v>3</v>
      </c>
      <c r="W13" s="24">
        <f>B13*$A$8/($A$8+U13)</f>
        <v>2.9633449173361468</v>
      </c>
      <c r="X13" s="24">
        <f>B13/(U13+$A$8)</f>
        <v>0.13770140774133563</v>
      </c>
    </row>
    <row r="14" spans="1:24" x14ac:dyDescent="0.3">
      <c r="B14" s="24">
        <v>4</v>
      </c>
      <c r="C14" s="24"/>
      <c r="D14" s="24">
        <f t="shared" si="12"/>
        <v>1.2955901724019583E-2</v>
      </c>
      <c r="E14" s="24">
        <f t="shared" si="13"/>
        <v>4.2819427749598692E-3</v>
      </c>
      <c r="F14" s="24">
        <f t="shared" si="14"/>
        <v>3.0156007462203089E-3</v>
      </c>
      <c r="G14" s="24">
        <f t="shared" si="15"/>
        <v>7.1526270165547757E-4</v>
      </c>
      <c r="H14" s="24">
        <f t="shared" si="16"/>
        <v>1.1100545935410943E-2</v>
      </c>
      <c r="I14" s="24">
        <f t="shared" si="17"/>
        <v>1.077891402581958E-2</v>
      </c>
      <c r="J14" s="24">
        <f t="shared" si="18"/>
        <v>1.6251741833453006E-3</v>
      </c>
      <c r="K14" s="24">
        <f t="shared" si="19"/>
        <v>4.5126363627307755E-3</v>
      </c>
      <c r="L14" s="24"/>
      <c r="M14" s="24">
        <f t="shared" si="20"/>
        <v>7.0567201999698195E-2</v>
      </c>
      <c r="N14" s="24">
        <f t="shared" si="21"/>
        <v>2.3322554245031303E-2</v>
      </c>
      <c r="O14" s="24">
        <f t="shared" si="22"/>
        <v>1.6425140568521304E-2</v>
      </c>
      <c r="P14" s="24">
        <f t="shared" si="23"/>
        <v>3.8958374820793492E-3</v>
      </c>
      <c r="Q14" s="24">
        <f t="shared" si="24"/>
        <v>6.0461593798508864E-2</v>
      </c>
      <c r="R14" s="24">
        <f t="shared" si="25"/>
        <v>5.8709754025627302E-2</v>
      </c>
      <c r="S14" s="24">
        <f t="shared" si="26"/>
        <v>8.8518728625583878E-3</v>
      </c>
      <c r="T14" s="24">
        <f t="shared" si="27"/>
        <v>2.4579078210328408E-2</v>
      </c>
      <c r="U14" s="3">
        <f t="shared" si="28"/>
        <v>0.26681303319235317</v>
      </c>
      <c r="V14" s="24">
        <f t="shared" si="29"/>
        <v>4</v>
      </c>
      <c r="W14" s="24">
        <f t="shared" ref="W14:W19" si="30">B14*$A$8/($A$8+U14)</f>
        <v>3.9510140215458383</v>
      </c>
      <c r="X14" s="24">
        <f t="shared" si="11"/>
        <v>0.18359664769016906</v>
      </c>
    </row>
    <row r="15" spans="1:24" x14ac:dyDescent="0.3">
      <c r="B15" s="24">
        <v>5</v>
      </c>
      <c r="C15" s="24"/>
      <c r="D15" s="24">
        <f t="shared" si="12"/>
        <v>1.6246860654261817E-2</v>
      </c>
      <c r="E15" s="24">
        <f t="shared" si="13"/>
        <v>5.3580042327272944E-3</v>
      </c>
      <c r="F15" s="24">
        <f t="shared" si="14"/>
        <v>3.7722344953770868E-3</v>
      </c>
      <c r="G15" s="24">
        <f t="shared" si="15"/>
        <v>8.9421263293598587E-4</v>
      </c>
      <c r="H15" s="24">
        <f t="shared" si="16"/>
        <v>1.3913786759988108E-2</v>
      </c>
      <c r="I15" s="24">
        <f t="shared" si="17"/>
        <v>1.3509559627839327E-2</v>
      </c>
      <c r="J15" s="24">
        <f t="shared" si="18"/>
        <v>2.0322348376871358E-3</v>
      </c>
      <c r="K15" s="24">
        <f t="shared" si="19"/>
        <v>5.6469969001600893E-3</v>
      </c>
      <c r="L15" s="24"/>
      <c r="M15" s="24">
        <f>E$8*(1+D14)</f>
        <v>7.0795740928508696E-2</v>
      </c>
      <c r="N15" s="24">
        <f t="shared" si="21"/>
        <v>2.334751849148849E-2</v>
      </c>
      <c r="O15" s="24">
        <f t="shared" si="22"/>
        <v>1.6437522407521006E-2</v>
      </c>
      <c r="P15" s="24">
        <f t="shared" si="23"/>
        <v>3.8965340593186772E-3</v>
      </c>
      <c r="Q15" s="24">
        <f t="shared" si="24"/>
        <v>6.0629364882023605E-2</v>
      </c>
      <c r="R15" s="24">
        <f t="shared" si="25"/>
        <v>5.8867944018456818E-2</v>
      </c>
      <c r="S15" s="24">
        <f t="shared" si="26"/>
        <v>8.855469012534924E-3</v>
      </c>
      <c r="T15" s="24">
        <f t="shared" si="27"/>
        <v>2.4606804851431754E-2</v>
      </c>
      <c r="U15" s="3">
        <f t="shared" si="28"/>
        <v>0.26743689865128395</v>
      </c>
      <c r="V15" s="24">
        <f t="shared" si="29"/>
        <v>5</v>
      </c>
      <c r="W15" s="24">
        <f t="shared" si="30"/>
        <v>4.9386261098590234</v>
      </c>
      <c r="X15" s="24">
        <f t="shared" si="11"/>
        <v>0.22948923821092998</v>
      </c>
    </row>
    <row r="16" spans="1:24" x14ac:dyDescent="0.3">
      <c r="B16" s="24">
        <v>6</v>
      </c>
      <c r="C16" s="24"/>
      <c r="D16" s="24">
        <f t="shared" si="12"/>
        <v>1.955901037551469E-2</v>
      </c>
      <c r="E16" s="24">
        <f t="shared" si="13"/>
        <v>6.4363089385345651E-3</v>
      </c>
      <c r="F16" s="24">
        <f t="shared" si="14"/>
        <v>4.5299657257230177E-3</v>
      </c>
      <c r="G16" s="24">
        <f t="shared" si="15"/>
        <v>1.0732161490847299E-3</v>
      </c>
      <c r="H16" s="24">
        <f t="shared" si="16"/>
        <v>1.6742517834894128E-2</v>
      </c>
      <c r="I16" s="24">
        <f t="shared" si="17"/>
        <v>1.6254799314577194E-2</v>
      </c>
      <c r="J16" s="24">
        <f t="shared" si="18"/>
        <v>2.4396026533343362E-3</v>
      </c>
      <c r="K16" s="24">
        <f t="shared" si="19"/>
        <v>6.7838533271711195E-3</v>
      </c>
      <c r="L16" s="24"/>
      <c r="M16" s="24">
        <f>E$8*(1+D15)</f>
        <v>7.1025746869967016E-2</v>
      </c>
      <c r="N16" s="24">
        <f t="shared" si="21"/>
        <v>2.3372534738135109E-2</v>
      </c>
      <c r="O16" s="24">
        <f t="shared" si="22"/>
        <v>1.64499221989069E-2</v>
      </c>
      <c r="P16" s="24">
        <f t="shared" si="23"/>
        <v>3.8972308454357034E-3</v>
      </c>
      <c r="Q16" s="24">
        <f t="shared" si="24"/>
        <v>6.0798057308449401E-2</v>
      </c>
      <c r="R16" s="24">
        <f t="shared" si="25"/>
        <v>5.9026977304770342E-2</v>
      </c>
      <c r="S16" s="24">
        <f t="shared" si="26"/>
        <v>8.8590678767644336E-3</v>
      </c>
      <c r="T16" s="24">
        <f t="shared" si="27"/>
        <v>2.4634592444504506E-2</v>
      </c>
      <c r="U16" s="3">
        <f t="shared" si="28"/>
        <v>0.26806412958693343</v>
      </c>
      <c r="V16" s="24">
        <f t="shared" si="29"/>
        <v>6</v>
      </c>
      <c r="W16" s="24">
        <f t="shared" si="30"/>
        <v>5.9261807256811663</v>
      </c>
      <c r="X16" s="24">
        <f t="shared" si="11"/>
        <v>0.27537915808647623</v>
      </c>
    </row>
    <row r="17" spans="2:26" x14ac:dyDescent="0.3">
      <c r="B17" s="24">
        <v>7</v>
      </c>
      <c r="C17" s="24"/>
      <c r="D17" s="24">
        <f t="shared" si="12"/>
        <v>2.289255398264263E-2</v>
      </c>
      <c r="E17" s="24">
        <f t="shared" si="13"/>
        <v>7.5168633972519027E-3</v>
      </c>
      <c r="F17" s="24">
        <f t="shared" si="14"/>
        <v>5.2887964668949751E-3</v>
      </c>
      <c r="G17" s="24">
        <f t="shared" si="15"/>
        <v>1.2522731895709114E-3</v>
      </c>
      <c r="H17" s="24">
        <f t="shared" si="16"/>
        <v>1.9586865754396939E-2</v>
      </c>
      <c r="I17" s="24">
        <f t="shared" si="17"/>
        <v>1.9014748780428237E-2</v>
      </c>
      <c r="J17" s="24">
        <f t="shared" si="18"/>
        <v>2.8472777854222186E-3</v>
      </c>
      <c r="K17" s="24">
        <f t="shared" si="19"/>
        <v>7.9232133436394174E-3</v>
      </c>
      <c r="L17" s="24"/>
      <c r="M17" s="24">
        <f t="shared" si="20"/>
        <v>7.1257233841100873E-2</v>
      </c>
      <c r="N17" s="24">
        <f t="shared" si="21"/>
        <v>2.3397603135749359E-2</v>
      </c>
      <c r="O17" s="24">
        <f t="shared" si="22"/>
        <v>1.6462339975926943E-2</v>
      </c>
      <c r="P17" s="24">
        <f t="shared" si="23"/>
        <v>3.897927840198758E-3</v>
      </c>
      <c r="Q17" s="24">
        <f t="shared" si="24"/>
        <v>6.0967678588136211E-2</v>
      </c>
      <c r="R17" s="24">
        <f t="shared" si="25"/>
        <v>5.918686055317772E-2</v>
      </c>
      <c r="S17" s="24">
        <f t="shared" si="26"/>
        <v>8.8626694566379741E-3</v>
      </c>
      <c r="T17" s="24">
        <f t="shared" si="27"/>
        <v>2.46624411775427E-2</v>
      </c>
      <c r="U17" s="3">
        <f t="shared" si="28"/>
        <v>0.26869475456847053</v>
      </c>
      <c r="V17" s="24">
        <f t="shared" si="29"/>
        <v>6.9999999999999991</v>
      </c>
      <c r="W17" s="24">
        <f t="shared" si="30"/>
        <v>6.913677407299752</v>
      </c>
      <c r="X17" s="24">
        <f t="shared" si="11"/>
        <v>0.3212663858618422</v>
      </c>
    </row>
    <row r="18" spans="2:26" x14ac:dyDescent="0.3">
      <c r="B18" s="24">
        <v>8</v>
      </c>
      <c r="C18" s="24"/>
      <c r="D18" s="24">
        <f t="shared" si="12"/>
        <v>2.6247697147530169E-2</v>
      </c>
      <c r="E18" s="24">
        <f t="shared" si="13"/>
        <v>8.5996741329482703E-3</v>
      </c>
      <c r="F18" s="24">
        <f t="shared" si="14"/>
        <v>6.0487287493084414E-3</v>
      </c>
      <c r="G18" s="24">
        <f t="shared" si="15"/>
        <v>1.4313836928161662E-3</v>
      </c>
      <c r="H18" s="24">
        <f t="shared" si="16"/>
        <v>2.2446958476688223E-2</v>
      </c>
      <c r="I18" s="24">
        <f t="shared" si="17"/>
        <v>2.1789524927609674E-2</v>
      </c>
      <c r="J18" s="24">
        <f t="shared" si="18"/>
        <v>3.2552603868428081E-3</v>
      </c>
      <c r="K18" s="24">
        <f t="shared" si="19"/>
        <v>9.0650846748459493E-3</v>
      </c>
      <c r="L18" s="24"/>
      <c r="M18" s="24">
        <f t="shared" si="20"/>
        <v>7.1490216036261031E-2</v>
      </c>
      <c r="N18" s="24">
        <f t="shared" si="21"/>
        <v>2.3422723835556283E-2</v>
      </c>
      <c r="O18" s="24">
        <f t="shared" si="22"/>
        <v>1.6474775771843031E-2</v>
      </c>
      <c r="P18" s="24">
        <f t="shared" si="23"/>
        <v>3.8986250433721481E-3</v>
      </c>
      <c r="Q18" s="24">
        <f t="shared" si="24"/>
        <v>6.1138236312149125E-2</v>
      </c>
      <c r="R18" s="24">
        <f t="shared" si="25"/>
        <v>5.9347600501741121E-2</v>
      </c>
      <c r="S18" s="24">
        <f t="shared" si="26"/>
        <v>8.8662737535271045E-3</v>
      </c>
      <c r="T18" s="24">
        <f t="shared" si="27"/>
        <v>2.4690351239164497E-2</v>
      </c>
      <c r="U18" s="3">
        <f t="shared" si="28"/>
        <v>0.26932880249361435</v>
      </c>
      <c r="V18" s="24">
        <f t="shared" si="29"/>
        <v>8</v>
      </c>
      <c r="W18" s="24">
        <f t="shared" si="30"/>
        <v>7.9011156878114104</v>
      </c>
      <c r="X18" s="24">
        <f t="shared" si="11"/>
        <v>0.36715089984085236</v>
      </c>
    </row>
    <row r="19" spans="2:26" x14ac:dyDescent="0.3">
      <c r="B19" s="24">
        <v>9</v>
      </c>
      <c r="C19" s="24"/>
      <c r="D19" s="24">
        <f t="shared" si="12"/>
        <v>2.9624648159683957E-2</v>
      </c>
      <c r="E19" s="24">
        <f t="shared" si="13"/>
        <v>9.6847476888672554E-3</v>
      </c>
      <c r="F19" s="24">
        <f t="shared" si="14"/>
        <v>6.8097646040836384E-3</v>
      </c>
      <c r="G19" s="24">
        <f t="shared" si="15"/>
        <v>1.6105475961793075E-3</v>
      </c>
      <c r="H19" s="24">
        <f t="shared" si="16"/>
        <v>2.5322925342021331E-2</v>
      </c>
      <c r="I19" s="24">
        <f t="shared" si="17"/>
        <v>2.4579245881698845E-2</v>
      </c>
      <c r="J19" s="24">
        <f t="shared" si="18"/>
        <v>3.6635506082047038E-3</v>
      </c>
      <c r="K19" s="24">
        <f t="shared" si="19"/>
        <v>1.0209475071482789E-2</v>
      </c>
      <c r="L19" s="24"/>
      <c r="M19" s="24">
        <f t="shared" si="20"/>
        <v>7.1724707829906906E-2</v>
      </c>
      <c r="N19" s="24">
        <f t="shared" si="21"/>
        <v>2.3447896989227252E-2</v>
      </c>
      <c r="O19" s="24">
        <f t="shared" si="22"/>
        <v>1.6487229619929815E-2</v>
      </c>
      <c r="P19" s="24">
        <f t="shared" si="23"/>
        <v>3.8993224547161022E-3</v>
      </c>
      <c r="Q19" s="24">
        <f t="shared" si="24"/>
        <v>6.1309738153339205E-2</v>
      </c>
      <c r="R19" s="24">
        <f t="shared" si="25"/>
        <v>5.9509203958866524E-2</v>
      </c>
      <c r="S19" s="24">
        <f t="shared" si="26"/>
        <v>8.8698807687835647E-3</v>
      </c>
      <c r="T19" s="24">
        <f>L$8*(1+K18)</f>
        <v>2.4718322818610413E-2</v>
      </c>
      <c r="U19" s="3">
        <f t="shared" si="28"/>
        <v>0.26996630259337978</v>
      </c>
      <c r="V19" s="24">
        <f t="shared" si="29"/>
        <v>9</v>
      </c>
      <c r="W19" s="24">
        <f t="shared" si="30"/>
        <v>8.8884950950477783</v>
      </c>
      <c r="X19" s="24">
        <f t="shared" si="11"/>
        <v>0.41303267808267635</v>
      </c>
    </row>
    <row r="20" spans="2:26" x14ac:dyDescent="0.3">
      <c r="B20" s="24">
        <v>10</v>
      </c>
      <c r="C20" s="24"/>
      <c r="D20" s="24">
        <f t="shared" si="12"/>
        <v>3.3023617967597445E-2</v>
      </c>
      <c r="E20" s="24">
        <f t="shared" si="13"/>
        <v>1.0772090627400614E-2</v>
      </c>
      <c r="F20" s="24">
        <f t="shared" si="14"/>
        <v>7.5719060629700118E-3</v>
      </c>
      <c r="G20" s="24">
        <f t="shared" si="15"/>
        <v>1.7897648359408048E-3</v>
      </c>
      <c r="H20" s="24">
        <f t="shared" si="16"/>
        <v>2.8214897091134492E-2</v>
      </c>
      <c r="I20" s="24">
        <f t="shared" si="17"/>
        <v>2.7384031007407002E-2</v>
      </c>
      <c r="J20" s="24">
        <f t="shared" si="18"/>
        <v>4.0721485977922274E-3</v>
      </c>
      <c r="K20" s="24">
        <f t="shared" si="19"/>
        <v>1.1356392309656479E-2</v>
      </c>
      <c r="L20" s="24"/>
      <c r="M20" s="24">
        <f t="shared" si="20"/>
        <v>7.1960723779444111E-2</v>
      </c>
      <c r="N20" s="24">
        <f t="shared" si="21"/>
        <v>2.3473122748879409E-2</v>
      </c>
      <c r="O20" s="24">
        <f t="shared" si="22"/>
        <v>1.6499701553473509E-2</v>
      </c>
      <c r="P20" s="24">
        <f t="shared" si="23"/>
        <v>3.9000200739867136E-3</v>
      </c>
      <c r="Q20" s="24">
        <f t="shared" si="24"/>
        <v>6.1482191867431084E-2</v>
      </c>
      <c r="R20" s="24">
        <f t="shared" si="25"/>
        <v>5.9671677804208574E-2</v>
      </c>
      <c r="S20" s="24">
        <f t="shared" si="26"/>
        <v>8.8734905037388973E-3</v>
      </c>
      <c r="T20" s="24">
        <f t="shared" si="27"/>
        <v>2.4746356105743425E-2</v>
      </c>
      <c r="U20" s="3">
        <f t="shared" si="28"/>
        <v>0.27060728443690568</v>
      </c>
      <c r="V20" s="24">
        <f t="shared" si="29"/>
        <v>10</v>
      </c>
      <c r="W20" s="24">
        <f>B20*$A$8/($A$8+U20)</f>
        <v>9.8758151515001007</v>
      </c>
      <c r="X20" s="24">
        <f t="shared" si="11"/>
        <v>0.45891169839832519</v>
      </c>
    </row>
    <row r="21" spans="2:26" x14ac:dyDescent="0.3">
      <c r="B21" s="24">
        <v>11</v>
      </c>
      <c r="C21" s="24"/>
      <c r="D21" s="24">
        <f t="shared" ref="D21:D30" si="31">$B21*M21/($U21+$A$8)</f>
        <v>3.6444820220894951E-2</v>
      </c>
      <c r="E21" s="24">
        <f t="shared" ref="E21:E30" si="32">$B21*N21/($U21+$A$8)</f>
        <v>1.1861709530059387E-2</v>
      </c>
      <c r="F21" s="24">
        <f t="shared" ref="F21:F30" si="33">$B21*O21/($U21+$A$8)</f>
        <v>8.3351551582690232E-3</v>
      </c>
      <c r="G21" s="24">
        <f t="shared" ref="G21:G30" si="34">$B21*P21/($U21+$A$8)</f>
        <v>1.9690353472869939E-3</v>
      </c>
      <c r="H21" s="24">
        <f t="shared" ref="H21:H29" si="35">$B21*Q21/($U21+$A$8)</f>
        <v>3.1123005883964446E-2</v>
      </c>
      <c r="I21" s="24">
        <f t="shared" ref="I21:I30" si="36">$B21*R21/($U21+$A$8)</f>
        <v>3.0204000924592956E-2</v>
      </c>
      <c r="J21" s="24">
        <f t="shared" ref="J21:J30" si="37">$B21*S21/($U21+$A$8)</f>
        <v>4.4810545015238536E-3</v>
      </c>
      <c r="K21" s="24">
        <f t="shared" ref="K21:K30" si="38">$B21*T21/($U21+$A$8)</f>
        <v>1.2505844190888982E-2</v>
      </c>
      <c r="L21" s="24"/>
      <c r="M21" s="24">
        <f t="shared" ref="M21:M30" si="39">E$8*(1+D20)</f>
        <v>7.2198278628115509E-2</v>
      </c>
      <c r="N21" s="24">
        <f t="shared" ref="N21:N30" si="40">F$8*(1+E20)</f>
        <v>2.3498401267075059E-2</v>
      </c>
      <c r="O21" s="24">
        <f t="shared" ref="O21:O30" si="41">G$8*(1+F20)</f>
        <v>1.6512191605770624E-2</v>
      </c>
      <c r="P21" s="24">
        <f t="shared" ref="P21:P30" si="42">H$8*(1+G20)</f>
        <v>3.9007179009358721E-3</v>
      </c>
      <c r="Q21" s="24">
        <f t="shared" ref="Q21:Q30" si="43">I$8*(1+H20)</f>
        <v>6.1655605294127711E-2</v>
      </c>
      <c r="R21" s="24">
        <f t="shared" ref="R21:R30" si="44">J$8*(1+I20)</f>
        <v>5.9835028989589326E-2</v>
      </c>
      <c r="S21" s="24">
        <f t="shared" ref="S21:S30" si="45">K$8*(1+J20)</f>
        <v>8.8771029597041005E-3</v>
      </c>
      <c r="T21" s="24">
        <f t="shared" ref="T21:T30" si="46">L$8*(1+K20)</f>
        <v>2.477445129104908E-2</v>
      </c>
      <c r="U21" s="3">
        <f t="shared" ref="U21:U30" si="47">SUM(M21:T21)</f>
        <v>0.27125177793636723</v>
      </c>
      <c r="V21" s="24">
        <f t="shared" ref="V21:V30" si="48">W21+SUM(D21:K21)</f>
        <v>11</v>
      </c>
      <c r="W21" s="24">
        <f t="shared" ref="W21:W30" si="49">B21*$A$8/($A$8+U21)</f>
        <v>10.86307537424252</v>
      </c>
      <c r="X21" s="24">
        <f t="shared" ref="X21:X30" si="50">B21/(U21+$A$8)</f>
        <v>0.50478793834708657</v>
      </c>
    </row>
    <row r="22" spans="2:26" x14ac:dyDescent="0.3">
      <c r="B22" s="24">
        <v>12</v>
      </c>
      <c r="C22" s="24"/>
      <c r="D22" s="24">
        <f t="shared" si="31"/>
        <v>3.9888471313272077E-2</v>
      </c>
      <c r="E22" s="24">
        <f t="shared" si="32"/>
        <v>1.2953610997442548E-2</v>
      </c>
      <c r="F22" s="24">
        <f t="shared" si="33"/>
        <v>9.0995139227552074E-3</v>
      </c>
      <c r="G22" s="24">
        <f t="shared" si="34"/>
        <v>2.148359064294017E-3</v>
      </c>
      <c r="H22" s="24">
        <f t="shared" si="35"/>
        <v>3.4047385318655657E-2</v>
      </c>
      <c r="I22" s="24">
        <f t="shared" si="36"/>
        <v>3.3039277524520815E-2</v>
      </c>
      <c r="J22" s="24">
        <f t="shared" si="37"/>
        <v>4.8902684629098976E-3</v>
      </c>
      <c r="K22" s="24">
        <f t="shared" si="38"/>
        <v>1.3657838542116121E-2</v>
      </c>
      <c r="L22" s="24"/>
      <c r="M22" s="24">
        <f t="shared" si="39"/>
        <v>7.2437387307946743E-2</v>
      </c>
      <c r="N22" s="24">
        <f t="shared" si="40"/>
        <v>2.3523732696820981E-2</v>
      </c>
      <c r="O22" s="24">
        <f t="shared" si="41"/>
        <v>1.6524699810126733E-2</v>
      </c>
      <c r="P22" s="24">
        <f t="shared" si="42"/>
        <v>3.9014159353112105E-3</v>
      </c>
      <c r="Q22" s="24">
        <f t="shared" si="43"/>
        <v>6.1829986358232461E-2</v>
      </c>
      <c r="R22" s="24">
        <f t="shared" si="44"/>
        <v>5.9999264539930847E-2</v>
      </c>
      <c r="S22" s="24">
        <f t="shared" si="45"/>
        <v>8.8807181379692551E-3</v>
      </c>
      <c r="T22" s="24">
        <f t="shared" si="46"/>
        <v>2.4802608565635504E-2</v>
      </c>
      <c r="U22" s="3">
        <f t="shared" si="47"/>
        <v>0.27189981335197372</v>
      </c>
      <c r="V22" s="24">
        <f t="shared" si="48"/>
        <v>12</v>
      </c>
      <c r="W22" s="24">
        <f t="shared" si="49"/>
        <v>11.850275274854033</v>
      </c>
      <c r="X22" s="24">
        <f t="shared" si="50"/>
        <v>0.55066137523289871</v>
      </c>
    </row>
    <row r="23" spans="2:26" x14ac:dyDescent="0.3">
      <c r="B23" s="24">
        <v>13</v>
      </c>
      <c r="C23" s="24"/>
      <c r="D23" s="24">
        <f t="shared" si="31"/>
        <v>4.3354790426249845E-2</v>
      </c>
      <c r="E23" s="24">
        <f t="shared" si="32"/>
        <v>1.4047801649203117E-2</v>
      </c>
      <c r="F23" s="24">
        <f t="shared" si="33"/>
        <v>9.8649843895954846E-3</v>
      </c>
      <c r="G23" s="24">
        <f t="shared" si="34"/>
        <v>2.3277359199114799E-3</v>
      </c>
      <c r="H23" s="24">
        <f t="shared" si="35"/>
        <v>3.6988170450870654E-2</v>
      </c>
      <c r="I23" s="24">
        <f t="shared" si="36"/>
        <v>3.5889983986366017E-2</v>
      </c>
      <c r="J23" s="24">
        <f t="shared" si="37"/>
        <v>5.2997906230094561E-3</v>
      </c>
      <c r="K23" s="24">
        <f t="shared" si="38"/>
        <v>1.4812383215683499E-2</v>
      </c>
      <c r="L23" s="24"/>
      <c r="M23" s="24">
        <f t="shared" si="39"/>
        <v>7.2678064942747214E-2</v>
      </c>
      <c r="N23" s="24">
        <f t="shared" si="40"/>
        <v>2.3549117191567714E-2</v>
      </c>
      <c r="O23" s="24">
        <f t="shared" si="41"/>
        <v>1.6537226199855148E-2</v>
      </c>
      <c r="P23" s="24">
        <f t="shared" si="42"/>
        <v>3.9021141768560389E-3</v>
      </c>
      <c r="Q23" s="24">
        <f t="shared" si="43"/>
        <v>6.2005343070789018E-2</v>
      </c>
      <c r="R23" s="24">
        <f t="shared" si="44"/>
        <v>6.0164391554202064E-2</v>
      </c>
      <c r="S23" s="24">
        <f t="shared" si="45"/>
        <v>8.8843360398031465E-3</v>
      </c>
      <c r="T23" s="24">
        <f t="shared" si="46"/>
        <v>2.4830828121233373E-2</v>
      </c>
      <c r="U23" s="3">
        <f t="shared" si="47"/>
        <v>0.27255142129705373</v>
      </c>
      <c r="V23" s="24">
        <f t="shared" si="48"/>
        <v>13</v>
      </c>
      <c r="W23" s="24">
        <f t="shared" si="49"/>
        <v>12.83741435933911</v>
      </c>
      <c r="X23" s="24">
        <f t="shared" si="50"/>
        <v>0.59653198610066138</v>
      </c>
    </row>
    <row r="24" spans="2:26" x14ac:dyDescent="0.3">
      <c r="B24" s="24">
        <v>14</v>
      </c>
      <c r="C24" s="24"/>
      <c r="D24" s="24">
        <f t="shared" si="31"/>
        <v>4.6843999573760529E-2</v>
      </c>
      <c r="E24" s="24">
        <f t="shared" si="32"/>
        <v>1.514428812401165E-2</v>
      </c>
      <c r="F24" s="24">
        <f t="shared" si="33"/>
        <v>1.0631568592266641E-2</v>
      </c>
      <c r="G24" s="24">
        <f t="shared" si="34"/>
        <v>2.5071658459458238E-3</v>
      </c>
      <c r="H24" s="24">
        <f t="shared" si="35"/>
        <v>3.9945497813406734E-2</v>
      </c>
      <c r="I24" s="24">
        <f t="shared" si="36"/>
        <v>3.8756244793973951E-2</v>
      </c>
      <c r="J24" s="24">
        <f t="shared" si="37"/>
        <v>5.7096211203865677E-3</v>
      </c>
      <c r="K24" s="24">
        <f t="shared" si="38"/>
        <v>1.5969486089339752E-2</v>
      </c>
      <c r="L24" s="24"/>
      <c r="M24" s="24">
        <f t="shared" si="39"/>
        <v>7.2920326851168157E-2</v>
      </c>
      <c r="N24" s="24">
        <f t="shared" si="40"/>
        <v>2.357455490520877E-2</v>
      </c>
      <c r="O24" s="24">
        <f t="shared" si="41"/>
        <v>1.6549770808275615E-2</v>
      </c>
      <c r="P24" s="24">
        <f t="shared" si="42"/>
        <v>3.9028126253092777E-3</v>
      </c>
      <c r="Q24" s="24">
        <f t="shared" si="43"/>
        <v>6.2181683530239305E-2</v>
      </c>
      <c r="R24" s="24">
        <f t="shared" si="44"/>
        <v>6.0330417206380119E-2</v>
      </c>
      <c r="S24" s="24">
        <f t="shared" si="45"/>
        <v>8.8879566664528953E-3</v>
      </c>
      <c r="T24" s="24">
        <f t="shared" si="46"/>
        <v>2.4859110150195797E-2</v>
      </c>
      <c r="U24" s="3">
        <f t="shared" si="47"/>
        <v>0.27320663274322993</v>
      </c>
      <c r="V24" s="24">
        <f t="shared" si="48"/>
        <v>14.000000000000002</v>
      </c>
      <c r="W24" s="24">
        <f t="shared" si="49"/>
        <v>13.824492128046909</v>
      </c>
      <c r="X24" s="24">
        <f t="shared" si="50"/>
        <v>0.64239974773248154</v>
      </c>
    </row>
    <row r="25" spans="2:26" x14ac:dyDescent="0.3">
      <c r="B25" s="24">
        <v>15</v>
      </c>
      <c r="C25" s="24"/>
      <c r="D25" s="24">
        <f t="shared" si="31"/>
        <v>5.035632364758353E-2</v>
      </c>
      <c r="E25" s="24">
        <f t="shared" si="32"/>
        <v>1.6243077079517061E-2</v>
      </c>
      <c r="F25" s="24">
        <f t="shared" si="33"/>
        <v>1.1399268564471023E-2</v>
      </c>
      <c r="G25" s="24">
        <f t="shared" si="34"/>
        <v>2.6866487730434138E-3</v>
      </c>
      <c r="H25" s="24">
        <f t="shared" si="35"/>
        <v>4.2919505436124793E-2</v>
      </c>
      <c r="I25" s="24">
        <f t="shared" si="36"/>
        <v>4.1638185752875721E-2</v>
      </c>
      <c r="J25" s="24">
        <f t="shared" si="37"/>
        <v>6.1197600910656092E-3</v>
      </c>
      <c r="K25" s="24">
        <f t="shared" si="38"/>
        <v>1.7129155066227163E-2</v>
      </c>
      <c r="L25" s="24"/>
      <c r="M25" s="24">
        <f t="shared" si="39"/>
        <v>7.3164188549818737E-2</v>
      </c>
      <c r="N25" s="24">
        <f t="shared" si="40"/>
        <v>2.3600045992079773E-2</v>
      </c>
      <c r="O25" s="24">
        <f t="shared" si="41"/>
        <v>1.6562333668712965E-2</v>
      </c>
      <c r="P25" s="24">
        <f t="shared" si="42"/>
        <v>3.9035112804054004E-3</v>
      </c>
      <c r="Q25" s="24">
        <f t="shared" si="43"/>
        <v>6.2359015923599777E-2</v>
      </c>
      <c r="R25" s="24">
        <f t="shared" si="44"/>
        <v>6.049734874642633E-2</v>
      </c>
      <c r="S25" s="24">
        <f t="shared" si="45"/>
        <v>8.8915800191435614E-3</v>
      </c>
      <c r="T25" s="24">
        <f t="shared" si="46"/>
        <v>2.4887454845498175E-2</v>
      </c>
      <c r="U25" s="3">
        <f t="shared" si="47"/>
        <v>0.2738654790256847</v>
      </c>
      <c r="V25" s="24">
        <f t="shared" si="48"/>
        <v>15</v>
      </c>
      <c r="W25" s="24">
        <f t="shared" si="49"/>
        <v>14.811508075589092</v>
      </c>
      <c r="X25" s="24">
        <f t="shared" si="50"/>
        <v>0.68826463664385551</v>
      </c>
    </row>
    <row r="26" spans="2:26" x14ac:dyDescent="0.3">
      <c r="B26" s="24">
        <v>16</v>
      </c>
      <c r="C26" s="24"/>
      <c r="D26" s="24">
        <f t="shared" si="31"/>
        <v>5.3891990463649959E-2</v>
      </c>
      <c r="E26" s="24">
        <f t="shared" si="32"/>
        <v>1.7344175192304721E-2</v>
      </c>
      <c r="F26" s="24">
        <f t="shared" si="33"/>
        <v>1.2168086340050281E-2</v>
      </c>
      <c r="G26" s="24">
        <f t="shared" si="34"/>
        <v>2.8661846306733212E-3</v>
      </c>
      <c r="H26" s="24">
        <f t="shared" si="35"/>
        <v>4.5910332866195828E-2</v>
      </c>
      <c r="I26" s="24">
        <f t="shared" si="36"/>
        <v>4.4535934007565357E-2</v>
      </c>
      <c r="J26" s="24">
        <f t="shared" si="37"/>
        <v>6.5302076684858644E-3</v>
      </c>
      <c r="K26" s="24">
        <f t="shared" si="38"/>
        <v>1.8291398074869437E-2</v>
      </c>
      <c r="L26" s="24"/>
      <c r="M26" s="24">
        <f t="shared" si="39"/>
        <v>7.3409665756441575E-2</v>
      </c>
      <c r="N26" s="24">
        <f t="shared" si="40"/>
        <v>2.3625590606957566E-2</v>
      </c>
      <c r="O26" s="24">
        <f t="shared" si="41"/>
        <v>1.6574914814495717E-2</v>
      </c>
      <c r="P26" s="24">
        <f t="shared" si="42"/>
        <v>3.9042101418743599E-3</v>
      </c>
      <c r="Q26" s="24">
        <f t="shared" si="43"/>
        <v>6.2537348527656356E-2</v>
      </c>
      <c r="R26" s="24">
        <f t="shared" si="44"/>
        <v>6.0665193501277234E-2</v>
      </c>
      <c r="S26" s="24">
        <f t="shared" si="45"/>
        <v>8.895206099077747E-3</v>
      </c>
      <c r="T26" s="24">
        <f t="shared" si="46"/>
        <v>2.491586240073795E-2</v>
      </c>
      <c r="U26" s="3">
        <f t="shared" si="47"/>
        <v>0.2745279918485185</v>
      </c>
      <c r="V26" s="24">
        <f t="shared" si="48"/>
        <v>16</v>
      </c>
      <c r="W26" s="24">
        <f t="shared" si="49"/>
        <v>15.798461690756206</v>
      </c>
      <c r="X26" s="24">
        <f t="shared" si="50"/>
        <v>0.73412662907978199</v>
      </c>
    </row>
    <row r="27" spans="2:26" x14ac:dyDescent="0.3">
      <c r="B27" s="24">
        <v>17</v>
      </c>
      <c r="C27" s="24"/>
      <c r="D27" s="24">
        <f t="shared" si="31"/>
        <v>5.745123080923531E-2</v>
      </c>
      <c r="E27" s="24">
        <f t="shared" si="32"/>
        <v>1.8447589157851677E-2</v>
      </c>
      <c r="F27" s="24">
        <f t="shared" si="33"/>
        <v>1.2938023952897264E-2</v>
      </c>
      <c r="G27" s="24">
        <f t="shared" si="34"/>
        <v>3.045773347109813E-3</v>
      </c>
      <c r="H27" s="24">
        <f t="shared" si="35"/>
        <v>4.8918121188671039E-2</v>
      </c>
      <c r="I27" s="24">
        <f t="shared" si="36"/>
        <v>4.7449618059043214E-2</v>
      </c>
      <c r="J27" s="24">
        <f t="shared" si="37"/>
        <v>6.9409639834553038E-3</v>
      </c>
      <c r="K27" s="24">
        <f t="shared" si="38"/>
        <v>1.9456223069156679E-2</v>
      </c>
      <c r="L27" s="24"/>
      <c r="M27" s="24">
        <f t="shared" si="39"/>
        <v>7.3656774393148994E-2</v>
      </c>
      <c r="N27" s="24">
        <f t="shared" si="40"/>
        <v>2.3651188905059212E-2</v>
      </c>
      <c r="O27" s="24">
        <f t="shared" si="41"/>
        <v>1.6587514278954676E-2</v>
      </c>
      <c r="P27" s="24">
        <f t="shared" si="42"/>
        <v>3.9049092094415264E-3</v>
      </c>
      <c r="Q27" s="24">
        <f t="shared" si="43"/>
        <v>6.2716689710178603E-2</v>
      </c>
      <c r="R27" s="24">
        <f t="shared" si="44"/>
        <v>6.0833958875850809E-2</v>
      </c>
      <c r="S27" s="24">
        <f t="shared" si="45"/>
        <v>8.8988349074352029E-3</v>
      </c>
      <c r="T27" s="24">
        <f t="shared" si="46"/>
        <v>2.494433301013432E-2</v>
      </c>
      <c r="U27" s="3">
        <f t="shared" si="47"/>
        <v>0.27519420329020333</v>
      </c>
      <c r="V27" s="24">
        <f t="shared" si="48"/>
        <v>17</v>
      </c>
      <c r="W27" s="24">
        <f t="shared" si="49"/>
        <v>16.78535245643258</v>
      </c>
      <c r="X27" s="24">
        <f t="shared" si="50"/>
        <v>0.77998570101080889</v>
      </c>
    </row>
    <row r="28" spans="2:26" x14ac:dyDescent="0.3">
      <c r="B28" s="24">
        <v>18</v>
      </c>
      <c r="C28" s="24"/>
      <c r="D28" s="24">
        <f t="shared" si="31"/>
        <v>6.1034278491059808E-2</v>
      </c>
      <c r="E28" s="24">
        <f t="shared" si="32"/>
        <v>1.9553325690479059E-2</v>
      </c>
      <c r="F28" s="24">
        <f t="shared" si="33"/>
        <v>1.3709083436865914E-2</v>
      </c>
      <c r="G28" s="24">
        <f t="shared" si="34"/>
        <v>3.2254148494145251E-3</v>
      </c>
      <c r="H28" s="24">
        <f t="shared" si="35"/>
        <v>5.1943013047381331E-2</v>
      </c>
      <c r="I28" s="24">
        <f t="shared" si="36"/>
        <v>5.0379367782630198E-2</v>
      </c>
      <c r="J28" s="24">
        <f t="shared" si="37"/>
        <v>7.3520291641035124E-3</v>
      </c>
      <c r="K28" s="24">
        <f t="shared" si="38"/>
        <v>2.0623638028327399E-2</v>
      </c>
      <c r="L28" s="24"/>
      <c r="M28" s="24">
        <f t="shared" si="39"/>
        <v>7.3905530589721311E-2</v>
      </c>
      <c r="N28" s="24">
        <f t="shared" si="40"/>
        <v>2.3676841042040975E-2</v>
      </c>
      <c r="O28" s="24">
        <f t="shared" si="41"/>
        <v>1.660013209542149E-2</v>
      </c>
      <c r="P28" s="24">
        <f t="shared" si="42"/>
        <v>3.90560848282762E-3</v>
      </c>
      <c r="Q28" s="24">
        <f t="shared" si="43"/>
        <v>6.2897047931153083E-2</v>
      </c>
      <c r="R28" s="24">
        <f t="shared" si="44"/>
        <v>6.1003652354068232E-2</v>
      </c>
      <c r="S28" s="24">
        <f t="shared" si="45"/>
        <v>8.9024664453724155E-3</v>
      </c>
      <c r="T28" s="24">
        <f t="shared" si="46"/>
        <v>2.4972866868527861E-2</v>
      </c>
      <c r="U28" s="3">
        <f t="shared" si="47"/>
        <v>0.27586414580913299</v>
      </c>
      <c r="V28" s="24">
        <f t="shared" si="48"/>
        <v>18</v>
      </c>
      <c r="W28" s="24">
        <f t="shared" si="49"/>
        <v>17.772179849509737</v>
      </c>
      <c r="X28" s="24">
        <f t="shared" si="50"/>
        <v>0.82584182812900853</v>
      </c>
    </row>
    <row r="29" spans="2:26" x14ac:dyDescent="0.3">
      <c r="B29" s="24">
        <v>19</v>
      </c>
      <c r="C29" s="24"/>
      <c r="D29" s="24">
        <f t="shared" si="31"/>
        <v>6.464137038431679E-2</v>
      </c>
      <c r="E29" s="24">
        <f t="shared" si="32"/>
        <v>2.0661391523301466E-2</v>
      </c>
      <c r="F29" s="24">
        <f t="shared" si="33"/>
        <v>1.4481266825679141E-2</v>
      </c>
      <c r="G29" s="24">
        <f t="shared" si="34"/>
        <v>3.4051090634183248E-3</v>
      </c>
      <c r="H29" s="24">
        <f t="shared" si="35"/>
        <v>5.4985152666172363E-2</v>
      </c>
      <c r="I29" s="24">
        <f t="shared" si="36"/>
        <v>5.3325314446057495E-2</v>
      </c>
      <c r="J29" s="24">
        <f t="shared" si="37"/>
        <v>7.7634033358337743E-3</v>
      </c>
      <c r="K29" s="24">
        <f t="shared" si="38"/>
        <v>2.1793650956947519E-2</v>
      </c>
      <c r="L29" s="24"/>
      <c r="M29" s="24">
        <f t="shared" si="39"/>
        <v>7.4155950686968605E-2</v>
      </c>
      <c r="N29" s="24">
        <f t="shared" si="40"/>
        <v>2.3702547173997203E-2</v>
      </c>
      <c r="O29" s="24">
        <f t="shared" si="41"/>
        <v>1.661276829722716E-2</v>
      </c>
      <c r="P29" s="24">
        <f t="shared" si="42"/>
        <v>3.9063079617486351E-3</v>
      </c>
      <c r="Q29" s="24">
        <f>I$8*(1+H28)</f>
        <v>6.3078431744036628E-2</v>
      </c>
      <c r="R29" s="24">
        <f t="shared" si="44"/>
        <v>6.1174281499891327E-2</v>
      </c>
      <c r="S29" s="24">
        <f t="shared" si="45"/>
        <v>8.9061007140221939E-3</v>
      </c>
      <c r="T29" s="24">
        <f t="shared" si="46"/>
        <v>2.5001464171380092E-2</v>
      </c>
      <c r="U29" s="3">
        <f t="shared" si="47"/>
        <v>0.27653785224927185</v>
      </c>
      <c r="V29" s="24">
        <f t="shared" si="48"/>
        <v>19</v>
      </c>
      <c r="W29" s="24">
        <f t="shared" si="49"/>
        <v>18.758943340798272</v>
      </c>
      <c r="X29" s="24">
        <f>B29/(U29+$A$8)</f>
        <v>0.87169498584388316</v>
      </c>
    </row>
    <row r="30" spans="2:26" x14ac:dyDescent="0.3">
      <c r="B30" s="25">
        <v>20</v>
      </c>
      <c r="C30" s="25"/>
      <c r="D30" s="25">
        <f t="shared" si="31"/>
        <v>6.8272746482649874E-2</v>
      </c>
      <c r="E30" s="25">
        <f t="shared" si="32"/>
        <v>2.177179340817333E-2</v>
      </c>
      <c r="F30" s="25">
        <f t="shared" si="33"/>
        <v>1.5254576152834719E-2</v>
      </c>
      <c r="G30" s="25">
        <f t="shared" si="34"/>
        <v>3.5848559137028496E-3</v>
      </c>
      <c r="H30" s="25">
        <f>$B30*Q30/($U30+$A$8)</f>
        <v>5.8044685870481234E-2</v>
      </c>
      <c r="I30" s="25">
        <f t="shared" si="36"/>
        <v>5.6287590727836706E-2</v>
      </c>
      <c r="J30" s="25">
        <f t="shared" si="37"/>
        <v>8.1750866212742836E-3</v>
      </c>
      <c r="K30" s="25">
        <f t="shared" si="38"/>
        <v>2.2966269884886311E-2</v>
      </c>
      <c r="L30" s="25"/>
      <c r="M30" s="25">
        <f t="shared" si="39"/>
        <v>7.4408051240157272E-2</v>
      </c>
      <c r="N30" s="25">
        <f t="shared" si="40"/>
        <v>2.3728307457459158E-2</v>
      </c>
      <c r="O30" s="25">
        <f t="shared" si="41"/>
        <v>1.6625422917700552E-2</v>
      </c>
      <c r="P30" s="25">
        <f t="shared" si="42"/>
        <v>3.9070076459157754E-3</v>
      </c>
      <c r="Q30" s="25">
        <f t="shared" si="43"/>
        <v>6.3260849797029686E-2</v>
      </c>
      <c r="R30" s="25">
        <f t="shared" si="44"/>
        <v>6.1345853958376106E-2</v>
      </c>
      <c r="S30" s="25">
        <f t="shared" si="45"/>
        <v>8.9097377144932381E-3</v>
      </c>
      <c r="T30" s="25">
        <f t="shared" si="46"/>
        <v>2.5030125114772955E-2</v>
      </c>
      <c r="U30" s="3">
        <f t="shared" si="47"/>
        <v>0.27721535584590473</v>
      </c>
      <c r="V30" s="25">
        <f t="shared" si="48"/>
        <v>20</v>
      </c>
      <c r="W30" s="25">
        <f t="shared" si="49"/>
        <v>19.745642394938162</v>
      </c>
      <c r="X30" s="25">
        <f t="shared" si="50"/>
        <v>0.91754514927819752</v>
      </c>
    </row>
    <row r="31" spans="2:26" x14ac:dyDescent="0.3">
      <c r="V31" s="8" t="s">
        <v>20</v>
      </c>
      <c r="X31" s="8" t="s">
        <v>26</v>
      </c>
      <c r="Y31" s="7" t="s">
        <v>31</v>
      </c>
      <c r="Z31" s="8" t="s">
        <v>49</v>
      </c>
    </row>
    <row r="32" spans="2:26" x14ac:dyDescent="0.3">
      <c r="B32">
        <v>76</v>
      </c>
      <c r="D32">
        <v>0.31955022852063614</v>
      </c>
      <c r="E32">
        <v>8.7898993335281422E-2</v>
      </c>
      <c r="F32">
        <v>6.0418885263281451E-2</v>
      </c>
      <c r="G32">
        <v>1.3731668806045139E-2</v>
      </c>
      <c r="H32">
        <v>0.26250763493206247</v>
      </c>
      <c r="I32">
        <v>0.2530918557538207</v>
      </c>
      <c r="J32">
        <v>3.1724891696538457E-2</v>
      </c>
      <c r="K32">
        <v>9.3051036011653987E-2</v>
      </c>
      <c r="M32">
        <v>9.1839302475901149E-2</v>
      </c>
      <c r="N32">
        <v>2.5262326594533521E-2</v>
      </c>
      <c r="O32">
        <v>1.736449479206971E-2</v>
      </c>
      <c r="P32">
        <v>3.9465059712696631E-3</v>
      </c>
      <c r="Q32">
        <v>7.5445159899806574E-2</v>
      </c>
      <c r="R32">
        <v>7.273904826283431E-2</v>
      </c>
      <c r="S32">
        <v>9.1177901452993149E-3</v>
      </c>
      <c r="T32">
        <v>2.6743032798107944E-2</v>
      </c>
      <c r="U32" s="3">
        <v>0.3224576609398222</v>
      </c>
      <c r="V32">
        <v>76</v>
      </c>
      <c r="W32">
        <v>74.878024805680681</v>
      </c>
      <c r="X32">
        <v>3.4794496463481619</v>
      </c>
      <c r="Y32">
        <f>V32-W32</f>
        <v>1.1219751943193188</v>
      </c>
      <c r="Z32">
        <f>$E$8*X32</f>
        <v>0.24317960467717231</v>
      </c>
    </row>
    <row r="34" spans="1:26" x14ac:dyDescent="0.3">
      <c r="B34">
        <v>182</v>
      </c>
      <c r="D34">
        <v>1.347151975538798</v>
      </c>
      <c r="E34">
        <v>0.23769139786745616</v>
      </c>
      <c r="F34">
        <v>0.15665229887324716</v>
      </c>
      <c r="G34">
        <v>3.3271793743200301E-2</v>
      </c>
      <c r="H34">
        <v>0.97394010017011767</v>
      </c>
      <c r="I34">
        <v>0.92068383814919719</v>
      </c>
      <c r="J34">
        <v>7.8860342032076577E-2</v>
      </c>
      <c r="K34">
        <v>0.25366463988227939</v>
      </c>
      <c r="M34">
        <v>0.16287149753965721</v>
      </c>
      <c r="N34">
        <v>2.8737035335217924E-2</v>
      </c>
      <c r="O34">
        <v>1.8939358716607482E-2</v>
      </c>
      <c r="P34">
        <v>4.0225802071204861E-3</v>
      </c>
      <c r="Q34">
        <v>0.11774995361246261</v>
      </c>
      <c r="R34">
        <v>0.11131123897134534</v>
      </c>
      <c r="S34">
        <v>9.5342635697185131E-3</v>
      </c>
      <c r="T34">
        <v>3.0668210061422899E-2</v>
      </c>
      <c r="U34" s="3">
        <v>0.48383413801355252</v>
      </c>
      <c r="V34">
        <v>182</v>
      </c>
      <c r="W34">
        <v>177.99808361374363</v>
      </c>
      <c r="X34">
        <v>8.2712567630857752</v>
      </c>
      <c r="Y34">
        <f>V34-W34</f>
        <v>4.0019163862563687</v>
      </c>
      <c r="Z34">
        <f t="shared" ref="Z34:Z38" si="51">$E$8*X34</f>
        <v>0.5780802006839334</v>
      </c>
    </row>
    <row r="36" spans="1:26" x14ac:dyDescent="0.3">
      <c r="B36">
        <v>203</v>
      </c>
      <c r="D36">
        <v>1.7608178889387036</v>
      </c>
      <c r="E36">
        <v>0.27168033837913863</v>
      </c>
      <c r="F36">
        <v>0.17739517366404792</v>
      </c>
      <c r="G36">
        <v>3.7152923598340666E-2</v>
      </c>
      <c r="H36">
        <v>1.2152583521828382</v>
      </c>
      <c r="I36">
        <v>1.1413345686559098</v>
      </c>
      <c r="J36">
        <v>8.8514863932114024E-2</v>
      </c>
      <c r="K36">
        <v>0.29047228361287014</v>
      </c>
      <c r="M36">
        <v>0.19136167758937259</v>
      </c>
      <c r="N36">
        <v>2.9525600374048781E-2</v>
      </c>
      <c r="O36">
        <v>1.9278903424289336E-2</v>
      </c>
      <c r="P36">
        <v>4.0376951141798366E-3</v>
      </c>
      <c r="Q36">
        <v>0.13207150974503756</v>
      </c>
      <c r="R36">
        <v>0.12403764132608769</v>
      </c>
      <c r="S36">
        <v>9.6195938035668338E-3</v>
      </c>
      <c r="T36">
        <v>3.15678661800044E-2</v>
      </c>
      <c r="U36" s="3">
        <v>0.54150048755658708</v>
      </c>
      <c r="V36" s="28">
        <v>203</v>
      </c>
      <c r="W36">
        <v>198.01737360703603</v>
      </c>
      <c r="X36" s="28">
        <v>9.2015178332471521</v>
      </c>
      <c r="Y36" s="28">
        <f>V36-W36</f>
        <v>4.9826263929639651</v>
      </c>
      <c r="Z36" s="28">
        <f t="shared" si="51"/>
        <v>0.64309637918383944</v>
      </c>
    </row>
    <row r="38" spans="1:26" x14ac:dyDescent="0.3">
      <c r="B38">
        <v>222</v>
      </c>
      <c r="D38">
        <v>2.272744560278003</v>
      </c>
      <c r="E38">
        <v>0.30364660774689423</v>
      </c>
      <c r="F38">
        <v>0.19655584444904323</v>
      </c>
      <c r="G38">
        <v>4.0643093015240161E-2</v>
      </c>
      <c r="H38">
        <v>1.4860307681881832</v>
      </c>
      <c r="I38">
        <v>1.3855879301889493</v>
      </c>
      <c r="J38">
        <v>9.7282674327224899E-2</v>
      </c>
      <c r="K38">
        <v>0.32521366392166123</v>
      </c>
      <c r="M38">
        <v>0.22654647446505724</v>
      </c>
      <c r="N38">
        <v>3.026739989641361E-2</v>
      </c>
      <c r="O38">
        <v>1.9592625750245389E-2</v>
      </c>
      <c r="P38">
        <v>4.0512909347066176E-3</v>
      </c>
      <c r="Q38">
        <v>0.14812708711904424</v>
      </c>
      <c r="R38">
        <v>0.13811497610943393</v>
      </c>
      <c r="S38">
        <v>9.6971068727007802E-3</v>
      </c>
      <c r="T38">
        <v>3.2417197381963705E-2</v>
      </c>
      <c r="U38" s="3">
        <v>0.60881415852956544</v>
      </c>
      <c r="V38">
        <v>222.00000000000003</v>
      </c>
      <c r="W38">
        <v>215.89229485788482</v>
      </c>
      <c r="X38">
        <v>10.032133872948675</v>
      </c>
      <c r="Y38">
        <f>V38-W38</f>
        <v>6.1077051421152078</v>
      </c>
      <c r="Z38">
        <f t="shared" si="51"/>
        <v>0.70114834162138506</v>
      </c>
    </row>
    <row r="41" spans="1:26" x14ac:dyDescent="0.3">
      <c r="A41" s="30" t="s">
        <v>30</v>
      </c>
      <c r="B41" s="30"/>
    </row>
    <row r="43" spans="1:26" x14ac:dyDescent="0.3">
      <c r="B43" s="13" t="s">
        <v>31</v>
      </c>
      <c r="C43" s="14" t="s">
        <v>21</v>
      </c>
      <c r="D43" s="5" t="s">
        <v>22</v>
      </c>
      <c r="E43" s="5" t="s">
        <v>5</v>
      </c>
      <c r="F43" s="5" t="s">
        <v>6</v>
      </c>
      <c r="G43" s="5" t="s">
        <v>7</v>
      </c>
      <c r="H43" s="5" t="s">
        <v>8</v>
      </c>
      <c r="I43" s="5" t="s">
        <v>9</v>
      </c>
      <c r="J43" s="5" t="s">
        <v>10</v>
      </c>
      <c r="K43" s="6" t="s">
        <v>11</v>
      </c>
      <c r="L43" s="14" t="s">
        <v>23</v>
      </c>
      <c r="M43" s="5" t="s">
        <v>22</v>
      </c>
      <c r="N43" s="5" t="s">
        <v>5</v>
      </c>
      <c r="O43" s="5" t="s">
        <v>6</v>
      </c>
      <c r="P43" s="5" t="s">
        <v>7</v>
      </c>
      <c r="Q43" s="5" t="s">
        <v>8</v>
      </c>
      <c r="R43" s="5" t="s">
        <v>9</v>
      </c>
      <c r="S43" s="5" t="s">
        <v>10</v>
      </c>
      <c r="T43" s="6" t="s">
        <v>11</v>
      </c>
      <c r="U43" s="15" t="s">
        <v>24</v>
      </c>
      <c r="V43" s="8" t="s">
        <v>20</v>
      </c>
      <c r="X43" s="8" t="s">
        <v>26</v>
      </c>
      <c r="Y43" s="7" t="s">
        <v>31</v>
      </c>
      <c r="Z43" s="8" t="s">
        <v>49</v>
      </c>
    </row>
    <row r="44" spans="1:26" x14ac:dyDescent="0.3">
      <c r="B44">
        <v>1</v>
      </c>
      <c r="D44">
        <f>$B44*M44/($U44)</f>
        <v>0.26377526395535628</v>
      </c>
      <c r="E44">
        <f t="shared" ref="E44:K44" si="52">$B44*N44/($U44)</f>
        <v>8.7740993581508608E-2</v>
      </c>
      <c r="F44">
        <f t="shared" si="52"/>
        <v>6.1850917150314683E-2</v>
      </c>
      <c r="G44">
        <f t="shared" si="52"/>
        <v>1.4695535870794542E-2</v>
      </c>
      <c r="H44">
        <f t="shared" si="52"/>
        <v>0.22631125241023595</v>
      </c>
      <c r="I44">
        <f t="shared" si="52"/>
        <v>0.21980631667919309</v>
      </c>
      <c r="J44">
        <f t="shared" si="52"/>
        <v>3.3367510859568787E-2</v>
      </c>
      <c r="K44">
        <f t="shared" si="52"/>
        <v>9.2452209493028029E-2</v>
      </c>
      <c r="M44">
        <f>M11</f>
        <v>6.989024972164784E-2</v>
      </c>
      <c r="N44">
        <f t="shared" ref="N44:T44" si="53">N11</f>
        <v>2.3247972005726102E-2</v>
      </c>
      <c r="O44">
        <f t="shared" si="53"/>
        <v>1.6388102433593128E-2</v>
      </c>
      <c r="P44">
        <f t="shared" si="53"/>
        <v>3.8937490058851593E-3</v>
      </c>
      <c r="Q44">
        <f t="shared" si="53"/>
        <v>5.9963734690631453E-2</v>
      </c>
      <c r="R44">
        <f t="shared" si="53"/>
        <v>5.8240178145379351E-2</v>
      </c>
      <c r="S44">
        <f t="shared" si="53"/>
        <v>8.8411006839510097E-3</v>
      </c>
      <c r="T44">
        <f t="shared" si="53"/>
        <v>2.4496262128201048E-2</v>
      </c>
      <c r="U44" s="3">
        <f>SUM(M44:T44)</f>
        <v>0.2649613488150151</v>
      </c>
      <c r="V44">
        <f>$A$8*X44+Y44</f>
        <v>82.219684454188098</v>
      </c>
      <c r="X44">
        <f>B44/U44</f>
        <v>3.7741353766211314</v>
      </c>
      <c r="Y44">
        <f>SUM(D44:K44)</f>
        <v>1</v>
      </c>
      <c r="Z44">
        <f>$E$8*X44</f>
        <v>0.26377526395535628</v>
      </c>
    </row>
    <row r="45" spans="1:26" x14ac:dyDescent="0.3">
      <c r="B45">
        <v>2</v>
      </c>
      <c r="D45">
        <f>$B45*M45/($U45)</f>
        <v>0.56001666300470743</v>
      </c>
      <c r="E45">
        <f t="shared" ref="E45" si="54">$B45*N45/($U45)</f>
        <v>0.16033379664028471</v>
      </c>
      <c r="F45">
        <f t="shared" ref="F45" si="55">$B45*O45/($U45)</f>
        <v>0.11033332922940992</v>
      </c>
      <c r="G45">
        <f t="shared" ref="G45" si="56">$B45*P45/($U45)</f>
        <v>2.5050604444696731E-2</v>
      </c>
      <c r="H45">
        <f t="shared" ref="H45" si="57">$B45*Q45/($U45)</f>
        <v>0.46623394917297223</v>
      </c>
      <c r="I45">
        <f t="shared" ref="I45" si="58">$B45*R45/($U45)</f>
        <v>0.45043079980326012</v>
      </c>
      <c r="J45">
        <f t="shared" ref="J45" si="59">$B45*S45/($U45)</f>
        <v>5.7926280928807521E-2</v>
      </c>
      <c r="K45">
        <f t="shared" ref="K45" si="60">$B45*T45/($U45)</f>
        <v>0.16967457677586126</v>
      </c>
      <c r="M45">
        <f>E$8*(1+D44)</f>
        <v>8.8325568789881265E-2</v>
      </c>
      <c r="N45">
        <f t="shared" ref="N45:T45" si="61">F$8*(1+E44)</f>
        <v>2.5287772168263608E-2</v>
      </c>
      <c r="O45">
        <f t="shared" si="61"/>
        <v>1.7401721599464168E-2</v>
      </c>
      <c r="P45">
        <f t="shared" si="61"/>
        <v>3.9509697340730154E-3</v>
      </c>
      <c r="Q45">
        <f t="shared" si="61"/>
        <v>7.3534202587663369E-2</v>
      </c>
      <c r="R45">
        <f t="shared" si="61"/>
        <v>7.1041737186255227E-2</v>
      </c>
      <c r="S45">
        <f t="shared" si="61"/>
        <v>9.1361062070332861E-3</v>
      </c>
      <c r="T45">
        <f t="shared" si="61"/>
        <v>2.676099568627362E-2</v>
      </c>
      <c r="U45" s="3">
        <f>SUM(M45:T45)</f>
        <v>0.31543907395890758</v>
      </c>
      <c r="V45">
        <f t="shared" ref="V45:V53" si="62">$A$8*X45+Y45</f>
        <v>138.44522140662272</v>
      </c>
      <c r="X45">
        <f>B45/U45</f>
        <v>6.3403686008174782</v>
      </c>
      <c r="Y45">
        <f t="shared" ref="Y45:Y53" si="63">SUM(D45:K45)</f>
        <v>2</v>
      </c>
      <c r="Z45">
        <f t="shared" ref="Z45:Z53" si="64">$E$8*X45</f>
        <v>0.44312994483842844</v>
      </c>
    </row>
    <row r="46" spans="1:26" x14ac:dyDescent="0.3">
      <c r="B46">
        <v>3</v>
      </c>
      <c r="D46">
        <f t="shared" ref="D46:D53" si="65">$B46*M46/($U46)</f>
        <v>0.88740116036398131</v>
      </c>
      <c r="E46">
        <f t="shared" ref="E46:E53" si="66">$B46*N46/($U46)</f>
        <v>0.21955441705812623</v>
      </c>
      <c r="F46">
        <f t="shared" ref="F46:F53" si="67">$B46*O46/($U46)</f>
        <v>0.14810039233806627</v>
      </c>
      <c r="G46">
        <f t="shared" ref="G46:G53" si="68">$B46*P46/($U46)</f>
        <v>3.2485340407185564E-2</v>
      </c>
      <c r="H46">
        <f t="shared" ref="H46:H53" si="69">$B46*Q46/($U46)</f>
        <v>0.71559303973231037</v>
      </c>
      <c r="I46">
        <f t="shared" ref="I46:I53" si="70">$B46*R46/($U46)</f>
        <v>0.6875335110468459</v>
      </c>
      <c r="J46">
        <f t="shared" ref="J46:J53" si="71">$B46*S46/($U46)</f>
        <v>7.6126507385199049E-2</v>
      </c>
      <c r="K46">
        <f t="shared" ref="K46:K53" si="72">$B46*T46/($U46)</f>
        <v>0.23320563166828498</v>
      </c>
      <c r="M46">
        <f t="shared" ref="M46:M53" si="73">E$8*(1+D45)</f>
        <v>0.10902995414733074</v>
      </c>
      <c r="N46">
        <f t="shared" ref="N46:N53" si="74">F$8*(1+E45)</f>
        <v>2.6975407621591223E-2</v>
      </c>
      <c r="O46">
        <f t="shared" ref="O46:O53" si="75">G$8*(1+F45)</f>
        <v>1.8196256334844053E-2</v>
      </c>
      <c r="P46">
        <f t="shared" ref="P46:P53" si="76">H$8*(1+G45)</f>
        <v>3.9912897720385193E-3</v>
      </c>
      <c r="Q46">
        <f t="shared" ref="Q46:Q53" si="77">I$8*(1+H45)</f>
        <v>8.7920863522604906E-2</v>
      </c>
      <c r="R46">
        <f t="shared" ref="R46:R53" si="78">J$8*(1+I45)</f>
        <v>8.4473348168086923E-2</v>
      </c>
      <c r="S46">
        <f t="shared" ref="S46:S53" si="79">K$8*(1+J45)</f>
        <v>9.3532327658894278E-3</v>
      </c>
      <c r="T46">
        <f t="shared" ref="T46:T53" si="80">L$8*(1+K45)</f>
        <v>2.8652655037394118E-2</v>
      </c>
      <c r="U46" s="3">
        <f t="shared" ref="U46:U53" si="81">SUM(M46:T46)</f>
        <v>0.36859300736977996</v>
      </c>
      <c r="V46">
        <f>$A$8*X46+Y46</f>
        <v>178.15316389376494</v>
      </c>
      <c r="X46">
        <f t="shared" ref="X46:X53" si="82">B46/U46</f>
        <v>8.1390583652346375</v>
      </c>
      <c r="Y46">
        <f t="shared" si="63"/>
        <v>3</v>
      </c>
      <c r="Z46">
        <f t="shared" si="64"/>
        <v>0.56884082164531569</v>
      </c>
    </row>
    <row r="47" spans="1:26" x14ac:dyDescent="0.3">
      <c r="B47">
        <v>4</v>
      </c>
      <c r="D47">
        <f t="shared" si="65"/>
        <v>1.2445096772826769</v>
      </c>
      <c r="E47">
        <f t="shared" si="66"/>
        <v>0.26748764400927194</v>
      </c>
      <c r="F47">
        <f t="shared" si="67"/>
        <v>0.17751129947507741</v>
      </c>
      <c r="G47">
        <f t="shared" si="68"/>
        <v>3.7928818575157806E-2</v>
      </c>
      <c r="H47">
        <f t="shared" si="69"/>
        <v>0.97055559525724844</v>
      </c>
      <c r="I47">
        <f t="shared" si="70"/>
        <v>0.92724087605616434</v>
      </c>
      <c r="J47">
        <f t="shared" si="71"/>
        <v>8.9760886608775695E-2</v>
      </c>
      <c r="K47">
        <f t="shared" si="72"/>
        <v>0.28500520273562718</v>
      </c>
      <c r="M47">
        <f t="shared" si="73"/>
        <v>0.13191093842276655</v>
      </c>
      <c r="N47">
        <f t="shared" si="74"/>
        <v>2.8352166947226934E-2</v>
      </c>
      <c r="O47">
        <f t="shared" si="75"/>
        <v>1.8815186833684692E-2</v>
      </c>
      <c r="P47">
        <f t="shared" si="76"/>
        <v>4.0202387678014793E-3</v>
      </c>
      <c r="Q47">
        <f t="shared" si="77"/>
        <v>0.10287336587160222</v>
      </c>
      <c r="R47">
        <f t="shared" si="78"/>
        <v>9.8282252309665794E-2</v>
      </c>
      <c r="S47">
        <f t="shared" si="79"/>
        <v>9.5141428004610947E-3</v>
      </c>
      <c r="T47">
        <f t="shared" si="80"/>
        <v>3.0208928411320057E-2</v>
      </c>
      <c r="U47" s="3">
        <f t="shared" si="81"/>
        <v>0.42397722036452884</v>
      </c>
      <c r="V47">
        <f t="shared" si="62"/>
        <v>207.03050361818001</v>
      </c>
      <c r="X47" s="28">
        <f t="shared" si="82"/>
        <v>9.4344691362447826</v>
      </c>
      <c r="Y47" s="28">
        <f t="shared" si="63"/>
        <v>4</v>
      </c>
      <c r="Z47" s="28">
        <f t="shared" si="64"/>
        <v>0.659377403923327</v>
      </c>
    </row>
    <row r="48" spans="1:26" x14ac:dyDescent="0.3">
      <c r="B48">
        <v>5</v>
      </c>
      <c r="D48">
        <f t="shared" si="65"/>
        <v>1.6300087940070378</v>
      </c>
      <c r="E48">
        <f t="shared" si="66"/>
        <v>0.30618272318713424</v>
      </c>
      <c r="F48">
        <f t="shared" si="67"/>
        <v>0.20051442729824454</v>
      </c>
      <c r="G48">
        <f t="shared" si="68"/>
        <v>4.1994014769074481E-2</v>
      </c>
      <c r="H48">
        <f t="shared" si="69"/>
        <v>1.2278045517758749</v>
      </c>
      <c r="I48">
        <f t="shared" si="70"/>
        <v>1.1663007799267862</v>
      </c>
      <c r="J48">
        <f t="shared" si="71"/>
        <v>0.10011275795508259</v>
      </c>
      <c r="K48">
        <f t="shared" si="72"/>
        <v>0.32708195108076488</v>
      </c>
      <c r="M48">
        <f t="shared" si="73"/>
        <v>0.15686934184794149</v>
      </c>
      <c r="N48">
        <f t="shared" si="74"/>
        <v>2.9466517265531286E-2</v>
      </c>
      <c r="O48">
        <f t="shared" si="75"/>
        <v>1.9297175792510921E-2</v>
      </c>
      <c r="P48">
        <f t="shared" si="76"/>
        <v>4.0414343055065784E-3</v>
      </c>
      <c r="Q48">
        <f t="shared" si="77"/>
        <v>0.11816187290714499</v>
      </c>
      <c r="R48">
        <f t="shared" si="78"/>
        <v>0.11224285195056798</v>
      </c>
      <c r="S48">
        <f t="shared" si="79"/>
        <v>9.6346857199399068E-3</v>
      </c>
      <c r="T48">
        <f t="shared" si="80"/>
        <v>3.1477824282314056E-2</v>
      </c>
      <c r="U48" s="3">
        <f t="shared" si="81"/>
        <v>0.48119170407145723</v>
      </c>
      <c r="V48">
        <f t="shared" si="62"/>
        <v>228.6123042149938</v>
      </c>
      <c r="X48">
        <f>B48/U48</f>
        <v>10.390869081270564</v>
      </c>
      <c r="Y48">
        <f t="shared" si="63"/>
        <v>4.9999999999999991</v>
      </c>
      <c r="Z48">
        <f t="shared" si="64"/>
        <v>0.72622043491494914</v>
      </c>
    </row>
    <row r="49" spans="2:26" x14ac:dyDescent="0.3">
      <c r="B49">
        <v>6</v>
      </c>
      <c r="D49">
        <f t="shared" si="65"/>
        <v>2.0427431062622659</v>
      </c>
      <c r="E49">
        <f t="shared" si="66"/>
        <v>0.33746518092333483</v>
      </c>
      <c r="F49">
        <f t="shared" si="67"/>
        <v>0.21864321971205</v>
      </c>
      <c r="G49">
        <f t="shared" si="68"/>
        <v>4.5089263154433915E-2</v>
      </c>
      <c r="H49">
        <f t="shared" si="69"/>
        <v>1.4845872334444432</v>
      </c>
      <c r="I49">
        <f t="shared" si="70"/>
        <v>1.4021078198200285</v>
      </c>
      <c r="J49">
        <f t="shared" si="71"/>
        <v>0.10808949760695237</v>
      </c>
      <c r="K49">
        <f t="shared" si="72"/>
        <v>0.36127467907649224</v>
      </c>
      <c r="M49">
        <f t="shared" si="73"/>
        <v>0.18381197138328176</v>
      </c>
      <c r="N49">
        <f t="shared" si="74"/>
        <v>3.0366099383017587E-2</v>
      </c>
      <c r="O49">
        <f t="shared" si="75"/>
        <v>1.9674153407570019E-2</v>
      </c>
      <c r="P49">
        <f t="shared" si="76"/>
        <v>4.0572631591453698E-3</v>
      </c>
      <c r="Q49">
        <f t="shared" si="77"/>
        <v>0.13358748108526966</v>
      </c>
      <c r="R49">
        <f t="shared" si="78"/>
        <v>0.12616574333941025</v>
      </c>
      <c r="S49">
        <f t="shared" si="79"/>
        <v>9.7262076567799123E-3</v>
      </c>
      <c r="T49">
        <f t="shared" si="80"/>
        <v>3.2508547339278902E-2</v>
      </c>
      <c r="U49" s="3">
        <f t="shared" si="81"/>
        <v>0.53989746675375339</v>
      </c>
      <c r="V49">
        <f t="shared" si="62"/>
        <v>245.15737859677947</v>
      </c>
      <c r="X49">
        <f t="shared" si="82"/>
        <v>11.113221249353616</v>
      </c>
      <c r="Y49">
        <f t="shared" si="63"/>
        <v>6.0000000000000018</v>
      </c>
      <c r="Z49">
        <f t="shared" si="64"/>
        <v>0.7767058083292474</v>
      </c>
    </row>
    <row r="50" spans="2:26" x14ac:dyDescent="0.3">
      <c r="B50">
        <v>7</v>
      </c>
      <c r="D50">
        <f t="shared" si="65"/>
        <v>2.481758788090541</v>
      </c>
      <c r="E50">
        <f t="shared" si="66"/>
        <v>0.36286513961410544</v>
      </c>
      <c r="F50">
        <f t="shared" si="67"/>
        <v>0.23306815346662033</v>
      </c>
      <c r="G50">
        <f t="shared" si="68"/>
        <v>4.7489656486839477E-2</v>
      </c>
      <c r="H50">
        <f t="shared" si="69"/>
        <v>1.7386838188582419</v>
      </c>
      <c r="I50">
        <f t="shared" si="70"/>
        <v>1.6326492035636155</v>
      </c>
      <c r="J50">
        <f t="shared" si="71"/>
        <v>0.11432964741116597</v>
      </c>
      <c r="K50">
        <f t="shared" si="72"/>
        <v>0.38915559250887005</v>
      </c>
      <c r="M50">
        <f t="shared" si="73"/>
        <v>0.21265807553549221</v>
      </c>
      <c r="N50">
        <f t="shared" si="74"/>
        <v>3.1093353084739084E-2</v>
      </c>
      <c r="O50">
        <f t="shared" si="75"/>
        <v>1.9971249914644811E-2</v>
      </c>
      <c r="P50">
        <f t="shared" si="76"/>
        <v>4.0693152794688305E-3</v>
      </c>
      <c r="Q50">
        <f t="shared" si="77"/>
        <v>0.1489851296819926</v>
      </c>
      <c r="R50">
        <f t="shared" si="78"/>
        <v>0.13989918735072729</v>
      </c>
      <c r="S50">
        <f t="shared" si="79"/>
        <v>9.7967308151717582E-3</v>
      </c>
      <c r="T50">
        <f t="shared" si="80"/>
        <v>3.3346141367140515E-2</v>
      </c>
      <c r="U50" s="3">
        <f t="shared" si="81"/>
        <v>0.59981918302937709</v>
      </c>
      <c r="V50">
        <f t="shared" si="62"/>
        <v>258.14325160854901</v>
      </c>
      <c r="X50">
        <f t="shared" si="82"/>
        <v>11.670183612078915</v>
      </c>
      <c r="Y50">
        <f t="shared" si="63"/>
        <v>7</v>
      </c>
      <c r="Z50">
        <f t="shared" si="64"/>
        <v>0.81563204694567759</v>
      </c>
    </row>
    <row r="51" spans="2:26" x14ac:dyDescent="0.3">
      <c r="B51">
        <v>8</v>
      </c>
      <c r="D51">
        <f t="shared" si="65"/>
        <v>2.9462850778663547</v>
      </c>
      <c r="E51">
        <f t="shared" si="66"/>
        <v>0.38361665177121557</v>
      </c>
      <c r="F51">
        <f t="shared" si="67"/>
        <v>0.24466691426431453</v>
      </c>
      <c r="G51">
        <f t="shared" si="68"/>
        <v>4.9382968182281488E-2</v>
      </c>
      <c r="H51">
        <f t="shared" si="69"/>
        <v>1.9883373165331637</v>
      </c>
      <c r="I51">
        <f t="shared" si="70"/>
        <v>1.8564154840060267</v>
      </c>
      <c r="J51">
        <f t="shared" si="71"/>
        <v>0.11928326423763141</v>
      </c>
      <c r="K51">
        <f t="shared" si="72"/>
        <v>0.41201232313901098</v>
      </c>
      <c r="M51">
        <f t="shared" si="73"/>
        <v>0.24334099117018984</v>
      </c>
      <c r="N51">
        <f t="shared" si="74"/>
        <v>3.1683850613328721E-2</v>
      </c>
      <c r="O51">
        <f t="shared" si="75"/>
        <v>2.0207647206612507E-2</v>
      </c>
      <c r="P51">
        <f t="shared" si="76"/>
        <v>4.0786618086206183E-3</v>
      </c>
      <c r="Q51">
        <f t="shared" si="77"/>
        <v>0.16422170991554097</v>
      </c>
      <c r="R51">
        <f t="shared" si="78"/>
        <v>0.15332595860983603</v>
      </c>
      <c r="S51">
        <f t="shared" si="79"/>
        <v>9.8519006078737464E-3</v>
      </c>
      <c r="T51">
        <f t="shared" si="80"/>
        <v>3.4029119530953722E-2</v>
      </c>
      <c r="U51" s="3">
        <f t="shared" si="81"/>
        <v>0.66073983946295622</v>
      </c>
      <c r="V51">
        <f t="shared" si="62"/>
        <v>268.55734324484422</v>
      </c>
      <c r="X51">
        <f t="shared" si="82"/>
        <v>12.107639833708729</v>
      </c>
      <c r="Y51">
        <f t="shared" si="63"/>
        <v>7.9999999999999991</v>
      </c>
      <c r="Z51">
        <f t="shared" si="64"/>
        <v>0.84620597151767385</v>
      </c>
    </row>
    <row r="52" spans="2:26" x14ac:dyDescent="0.3">
      <c r="B52">
        <v>9</v>
      </c>
      <c r="D52">
        <f t="shared" si="65"/>
        <v>3.4356960773111611</v>
      </c>
      <c r="E52">
        <f t="shared" si="66"/>
        <v>0.40069188372342346</v>
      </c>
      <c r="F52">
        <f t="shared" si="67"/>
        <v>0.25409230130629062</v>
      </c>
      <c r="G52">
        <f t="shared" si="68"/>
        <v>5.0899281968046321E-2</v>
      </c>
      <c r="H52">
        <f t="shared" si="69"/>
        <v>2.2321736828655148</v>
      </c>
      <c r="I52">
        <f t="shared" si="70"/>
        <v>2.0723054295466894</v>
      </c>
      <c r="J52">
        <f t="shared" si="71"/>
        <v>0.12326961457422118</v>
      </c>
      <c r="K52">
        <f t="shared" si="72"/>
        <v>0.43087172870465323</v>
      </c>
      <c r="M52">
        <f t="shared" si="73"/>
        <v>0.27580684956489204</v>
      </c>
      <c r="N52">
        <f t="shared" si="74"/>
        <v>3.2166281187033699E-2</v>
      </c>
      <c r="O52">
        <f t="shared" si="75"/>
        <v>2.0397728886667861E-2</v>
      </c>
      <c r="P52">
        <f t="shared" si="76"/>
        <v>4.0860338891525764E-3</v>
      </c>
      <c r="Q52">
        <f t="shared" si="77"/>
        <v>0.17919186601470818</v>
      </c>
      <c r="R52">
        <f t="shared" si="78"/>
        <v>0.16635814664573095</v>
      </c>
      <c r="S52">
        <f t="shared" si="79"/>
        <v>9.8956960329862412E-3</v>
      </c>
      <c r="T52">
        <f t="shared" si="80"/>
        <v>3.4589023995863333E-2</v>
      </c>
      <c r="U52" s="3">
        <f t="shared" si="81"/>
        <v>0.72249162621703489</v>
      </c>
      <c r="V52">
        <f t="shared" si="62"/>
        <v>277.07327207917433</v>
      </c>
      <c r="X52">
        <f t="shared" si="82"/>
        <v>12.456891780357354</v>
      </c>
      <c r="Y52">
        <f t="shared" si="63"/>
        <v>9.0000000000000018</v>
      </c>
      <c r="Z52">
        <f t="shared" si="64"/>
        <v>0.87061527728471788</v>
      </c>
    </row>
    <row r="53" spans="2:26" x14ac:dyDescent="0.3">
      <c r="B53">
        <v>10</v>
      </c>
      <c r="D53">
        <f t="shared" si="65"/>
        <v>3.9494676791108039</v>
      </c>
      <c r="E53">
        <f t="shared" si="66"/>
        <v>0.41484692592376854</v>
      </c>
      <c r="F53">
        <f t="shared" si="67"/>
        <v>0.26182937059212918</v>
      </c>
      <c r="G53">
        <f t="shared" si="68"/>
        <v>5.2130181684743031E-2</v>
      </c>
      <c r="H53">
        <f t="shared" si="69"/>
        <v>2.4691277127307347</v>
      </c>
      <c r="I53">
        <f t="shared" si="70"/>
        <v>2.2795402932291799</v>
      </c>
      <c r="J53">
        <f t="shared" si="71"/>
        <v>0.12651748132777688</v>
      </c>
      <c r="K53">
        <f t="shared" si="72"/>
        <v>0.44654035540086312</v>
      </c>
      <c r="M53">
        <f t="shared" si="73"/>
        <v>0.31001190653261079</v>
      </c>
      <c r="N53">
        <f t="shared" si="74"/>
        <v>3.256324570144991E-2</v>
      </c>
      <c r="O53">
        <f t="shared" si="75"/>
        <v>2.0552193094988028E-2</v>
      </c>
      <c r="P53">
        <f t="shared" si="76"/>
        <v>4.0919380344485081E-3</v>
      </c>
      <c r="Q53">
        <f t="shared" si="77"/>
        <v>0.19381320519338888</v>
      </c>
      <c r="R53">
        <f t="shared" si="78"/>
        <v>0.17893161553381542</v>
      </c>
      <c r="S53">
        <f t="shared" si="79"/>
        <v>9.930939757673533E-3</v>
      </c>
      <c r="T53">
        <f t="shared" si="80"/>
        <v>3.5051008938181361E-2</v>
      </c>
      <c r="U53" s="3">
        <f t="shared" si="81"/>
        <v>0.78494605278655649</v>
      </c>
      <c r="V53">
        <f t="shared" si="62"/>
        <v>284.15995108091028</v>
      </c>
      <c r="X53">
        <f t="shared" si="82"/>
        <v>12.739729010038365</v>
      </c>
      <c r="Y53">
        <f t="shared" si="63"/>
        <v>10</v>
      </c>
      <c r="Z53">
        <f t="shared" si="64"/>
        <v>0.89038284189770278</v>
      </c>
    </row>
  </sheetData>
  <mergeCells count="6">
    <mergeCell ref="A41:B41"/>
    <mergeCell ref="F1:L1"/>
    <mergeCell ref="F5:L5"/>
    <mergeCell ref="E7:F7"/>
    <mergeCell ref="V9:W9"/>
    <mergeCell ref="R3:S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86" zoomScaleNormal="86" workbookViewId="0">
      <selection activeCell="A6" sqref="A6:A7"/>
    </sheetView>
  </sheetViews>
  <sheetFormatPr defaultRowHeight="14.4" x14ac:dyDescent="0.3"/>
  <cols>
    <col min="14" max="14" width="12.21875" bestFit="1" customWidth="1"/>
  </cols>
  <sheetData>
    <row r="1" spans="1:26" x14ac:dyDescent="0.3">
      <c r="A1" s="23" t="s">
        <v>17</v>
      </c>
      <c r="E1" s="30" t="s">
        <v>15</v>
      </c>
      <c r="F1" s="30"/>
      <c r="G1" s="30"/>
      <c r="H1" s="30"/>
      <c r="I1" s="30"/>
      <c r="J1" s="30"/>
      <c r="K1" s="30"/>
      <c r="L1" s="30"/>
    </row>
    <row r="2" spans="1:26" x14ac:dyDescent="0.3">
      <c r="A2" s="2">
        <v>21.520077143311592</v>
      </c>
      <c r="D2" s="23" t="s">
        <v>44</v>
      </c>
      <c r="E2" s="23" t="s">
        <v>22</v>
      </c>
      <c r="F2" s="23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23" t="s">
        <v>10</v>
      </c>
      <c r="L2" s="23" t="s">
        <v>11</v>
      </c>
      <c r="M2" s="23" t="s">
        <v>18</v>
      </c>
      <c r="N2" s="23" t="s">
        <v>45</v>
      </c>
      <c r="P2" s="23" t="s">
        <v>29</v>
      </c>
      <c r="Q2" s="23" t="s">
        <v>32</v>
      </c>
      <c r="R2" s="23" t="s">
        <v>27</v>
      </c>
    </row>
    <row r="3" spans="1:26" x14ac:dyDescent="0.3">
      <c r="D3" s="2">
        <v>21.520077143311592</v>
      </c>
      <c r="E3" s="2">
        <v>6.989024972164784E-2</v>
      </c>
      <c r="F3" s="2">
        <v>2.3247972005726102E-2</v>
      </c>
      <c r="G3" s="2">
        <v>1.6388102433593128E-2</v>
      </c>
      <c r="H3" s="2">
        <v>3.8937490058851593E-3</v>
      </c>
      <c r="I3" s="2">
        <v>5.9963734690631453E-2</v>
      </c>
      <c r="J3" s="2">
        <v>5.8240178145379351E-2</v>
      </c>
      <c r="K3" s="2">
        <v>8.8411006839510097E-3</v>
      </c>
      <c r="L3" s="2">
        <v>2.4496262128201048E-2</v>
      </c>
      <c r="M3" s="3">
        <f>SUM(E3:L3)</f>
        <v>0.2649613488150151</v>
      </c>
      <c r="N3" s="2">
        <f>SUM(D3:L3)</f>
        <v>21.78503849212661</v>
      </c>
      <c r="P3" s="2">
        <f>MAX(E3:L3)</f>
        <v>6.989024972164784E-2</v>
      </c>
      <c r="Q3">
        <f>M3/8</f>
        <v>3.3120168601876887E-2</v>
      </c>
      <c r="R3">
        <f>1/P3</f>
        <v>14.308147473827947</v>
      </c>
    </row>
    <row r="5" spans="1:26" x14ac:dyDescent="0.3">
      <c r="E5" s="30" t="s">
        <v>43</v>
      </c>
      <c r="F5" s="30"/>
      <c r="N5" s="26" t="s">
        <v>50</v>
      </c>
      <c r="O5" s="23" t="s">
        <v>44</v>
      </c>
      <c r="P5" s="23" t="s">
        <v>22</v>
      </c>
      <c r="Q5" s="23" t="s">
        <v>5</v>
      </c>
      <c r="R5" s="23" t="s">
        <v>6</v>
      </c>
      <c r="S5" s="23" t="s">
        <v>7</v>
      </c>
      <c r="T5" s="23" t="s">
        <v>8</v>
      </c>
      <c r="U5" s="23" t="s">
        <v>9</v>
      </c>
      <c r="V5" s="23" t="s">
        <v>10</v>
      </c>
      <c r="W5" s="23" t="s">
        <v>11</v>
      </c>
      <c r="X5" s="23" t="s">
        <v>45</v>
      </c>
      <c r="Y5" s="23" t="s">
        <v>26</v>
      </c>
      <c r="Z5" s="23" t="s">
        <v>37</v>
      </c>
    </row>
    <row r="6" spans="1:26" x14ac:dyDescent="0.3">
      <c r="A6" s="23" t="s">
        <v>20</v>
      </c>
      <c r="E6" s="30" t="s">
        <v>48</v>
      </c>
      <c r="F6" s="30"/>
      <c r="G6" s="30"/>
      <c r="P6" s="30" t="s">
        <v>46</v>
      </c>
      <c r="Q6" s="36"/>
      <c r="R6" s="36"/>
    </row>
    <row r="7" spans="1:26" x14ac:dyDescent="0.3">
      <c r="A7" s="2">
        <v>222</v>
      </c>
      <c r="D7">
        <f>D3*$A$7/$N$3</f>
        <v>219.29991666261262</v>
      </c>
      <c r="E7">
        <f t="shared" ref="E7:K7" si="0">E3*$A$7/$N$3</f>
        <v>0.71221519502081065</v>
      </c>
      <c r="F7">
        <f t="shared" si="0"/>
        <v>0.23690799477524283</v>
      </c>
      <c r="G7">
        <f t="shared" si="0"/>
        <v>0.16700263079969088</v>
      </c>
      <c r="H7">
        <f t="shared" si="0"/>
        <v>3.967917153871061E-2</v>
      </c>
      <c r="I7">
        <f t="shared" si="0"/>
        <v>0.61105924169614345</v>
      </c>
      <c r="J7">
        <f t="shared" si="0"/>
        <v>0.59349537311797895</v>
      </c>
      <c r="K7">
        <f t="shared" si="0"/>
        <v>9.0095060082013526E-2</v>
      </c>
      <c r="L7">
        <f>L3*$A$7/$N$3</f>
        <v>0.24962867035677061</v>
      </c>
      <c r="N7" s="27">
        <v>1</v>
      </c>
      <c r="O7">
        <f>$D$3</f>
        <v>21.520077143311592</v>
      </c>
      <c r="P7">
        <f>E$3*(1+E7)*$A$10</f>
        <v>0.11912810635199178</v>
      </c>
      <c r="Q7">
        <f t="shared" ref="Q7:W7" si="1">F$3*(1+F7)*$A$10</f>
        <v>2.8626072695490078E-2</v>
      </c>
      <c r="R7">
        <f t="shared" si="1"/>
        <v>1.9038810191413413E-2</v>
      </c>
      <c r="S7">
        <f t="shared" si="1"/>
        <v>4.0300143814263863E-3</v>
      </c>
      <c r="T7">
        <f t="shared" si="1"/>
        <v>9.6169970701489166E-2</v>
      </c>
      <c r="U7">
        <f t="shared" si="1"/>
        <v>9.2387411816822404E-2</v>
      </c>
      <c r="V7">
        <f t="shared" si="1"/>
        <v>9.5942273876534166E-3</v>
      </c>
      <c r="W7">
        <f t="shared" si="1"/>
        <v>3.0473343041920849E-2</v>
      </c>
      <c r="X7">
        <f t="shared" ref="X7:X16" si="2">SUM(O7:W7)</f>
        <v>21.919525099879802</v>
      </c>
      <c r="Y7">
        <f t="shared" ref="Y7:Y16" si="3">$A$7/X7</f>
        <v>10.127956649992264</v>
      </c>
      <c r="Z7">
        <f>X7-$D$3</f>
        <v>0.39944795656820986</v>
      </c>
    </row>
    <row r="8" spans="1:26" x14ac:dyDescent="0.3">
      <c r="E8">
        <f t="shared" ref="E8:E15" si="4">$A$7*P7/$X7</f>
        <v>1.2065242969286409</v>
      </c>
      <c r="F8">
        <f t="shared" ref="F8:K8" si="5">$A$7*Q7/$X7</f>
        <v>0.28992362331945071</v>
      </c>
      <c r="G8">
        <f t="shared" si="5"/>
        <v>0.19282424428606595</v>
      </c>
      <c r="H8">
        <f t="shared" si="5"/>
        <v>4.081581095393183E-2</v>
      </c>
      <c r="I8">
        <f t="shared" si="5"/>
        <v>0.97400529429570837</v>
      </c>
      <c r="J8">
        <f t="shared" si="5"/>
        <v>0.93569570188576034</v>
      </c>
      <c r="K8">
        <f t="shared" si="5"/>
        <v>9.7169919072322336E-2</v>
      </c>
      <c r="L8">
        <f>$A$7*W7/$X7</f>
        <v>0.30863269730891779</v>
      </c>
      <c r="N8" s="27">
        <v>2</v>
      </c>
      <c r="O8">
        <f t="shared" ref="O8:O16" si="6">$D$3</f>
        <v>21.520077143311592</v>
      </c>
      <c r="P8">
        <f>E$3*(1+E8)*$A$10</f>
        <v>0.15351987406558096</v>
      </c>
      <c r="Q8">
        <f t="shared" ref="Q8:Q9" si="7">F$3*(1+F8)*$A$10</f>
        <v>2.9853026715606475E-2</v>
      </c>
      <c r="R8">
        <f t="shared" ref="R8:R9" si="8">G$3*(1+G8)*$A$10</f>
        <v>1.946007127945934E-2</v>
      </c>
      <c r="S8">
        <f t="shared" ref="S8:S9" si="9">H$3*(1+H8)*$A$10</f>
        <v>4.0344202340347997E-3</v>
      </c>
      <c r="T8">
        <f t="shared" ref="T8:T9" si="10">I$3*(1+I8)*$A$10</f>
        <v>0.11783553726872066</v>
      </c>
      <c r="U8">
        <f t="shared" ref="U8:U9" si="11">J$3*(1+J8)*$A$10</f>
        <v>0.11222744601526517</v>
      </c>
      <c r="V8">
        <f t="shared" ref="V8:V9" si="12">K$3*(1+K8)*$A$10</f>
        <v>9.6564951736238438E-3</v>
      </c>
      <c r="W8">
        <f t="shared" ref="W8:W9" si="13">L$3*(1+L8)*$A$10</f>
        <v>3.1912210440549101E-2</v>
      </c>
      <c r="X8">
        <f t="shared" si="2"/>
        <v>21.998576224504433</v>
      </c>
      <c r="Y8">
        <f t="shared" si="3"/>
        <v>10.09156218722519</v>
      </c>
      <c r="Z8">
        <f t="shared" ref="Z8:Z16" si="14">X8-$D$3</f>
        <v>0.47849908119284024</v>
      </c>
    </row>
    <row r="9" spans="1:26" x14ac:dyDescent="0.3">
      <c r="A9" t="s">
        <v>47</v>
      </c>
      <c r="E9">
        <f t="shared" si="4"/>
        <v>1.5492553561077897</v>
      </c>
      <c r="F9">
        <f t="shared" ref="F9" si="15">$A$7*Q8/$X8</f>
        <v>0.30126367557743766</v>
      </c>
      <c r="G9">
        <f t="shared" ref="G9" si="16">$A$7*R8/$X8</f>
        <v>0.19638251948449878</v>
      </c>
      <c r="H9">
        <f t="shared" ref="H9" si="17">$A$7*S8/$X8</f>
        <v>4.0713602681161781E-2</v>
      </c>
      <c r="I9">
        <f t="shared" ref="I9" si="18">$A$7*T8/$X8</f>
        <v>1.1891446522123859</v>
      </c>
      <c r="J9">
        <f t="shared" ref="J9" si="19">$A$7*U8/$X8</f>
        <v>1.1325502505765062</v>
      </c>
      <c r="K9">
        <f t="shared" ref="K9" si="20">$A$7*V8/$X8</f>
        <v>9.7449121555264917E-2</v>
      </c>
      <c r="L9">
        <f t="shared" ref="L9:L15" si="21">$A$7*W8/$X8</f>
        <v>0.32204405619261822</v>
      </c>
      <c r="N9" s="27">
        <v>3</v>
      </c>
      <c r="O9">
        <f t="shared" si="6"/>
        <v>21.520077143311592</v>
      </c>
      <c r="P9">
        <f t="shared" ref="P9:P15" si="22">E$3*(1+E9)*$A$10</f>
        <v>0.17736553446315048</v>
      </c>
      <c r="Q9">
        <f t="shared" si="7"/>
        <v>3.0115472396028145E-2</v>
      </c>
      <c r="R9">
        <f t="shared" si="8"/>
        <v>1.951812198502232E-2</v>
      </c>
      <c r="S9">
        <f t="shared" si="9"/>
        <v>4.0340240533471034E-3</v>
      </c>
      <c r="T9">
        <f t="shared" si="10"/>
        <v>0.13067798602051295</v>
      </c>
      <c r="U9">
        <f t="shared" si="11"/>
        <v>0.12364064655837095</v>
      </c>
      <c r="V9">
        <f t="shared" si="12"/>
        <v>9.6589525117098864E-3</v>
      </c>
      <c r="W9">
        <f t="shared" si="13"/>
        <v>3.2239258746670822E-2</v>
      </c>
      <c r="X9">
        <f t="shared" si="2"/>
        <v>22.047327140046402</v>
      </c>
      <c r="Y9">
        <f t="shared" si="3"/>
        <v>10.069247786356962</v>
      </c>
      <c r="Z9">
        <f t="shared" si="14"/>
        <v>0.52724999673480966</v>
      </c>
    </row>
    <row r="10" spans="1:26" x14ac:dyDescent="0.3">
      <c r="A10" s="2">
        <f>(A7-1)/A7</f>
        <v>0.99549549549549554</v>
      </c>
      <c r="E10">
        <f t="shared" si="4"/>
        <v>1.7859375152690973</v>
      </c>
      <c r="F10">
        <f t="shared" ref="F10" si="23">$A$7*Q9/$X9</f>
        <v>0.30324015375880059</v>
      </c>
      <c r="G10">
        <f t="shared" ref="G10" si="24">$A$7*R9/$X9</f>
        <v>0.19653280659153116</v>
      </c>
      <c r="H10">
        <f t="shared" ref="H10" si="25">$A$7*S9/$X9</f>
        <v>4.0619587769276058E-2</v>
      </c>
      <c r="I10">
        <f t="shared" ref="I10" si="26">$A$7*T9/$X9</f>
        <v>1.315829021462636</v>
      </c>
      <c r="J10">
        <f t="shared" ref="J10" si="27">$A$7*U9/$X9</f>
        <v>1.2449683066616202</v>
      </c>
      <c r="K10">
        <f t="shared" ref="K10" si="28">$A$7*V9/$X9</f>
        <v>9.72583861970618E-2</v>
      </c>
      <c r="L10">
        <f t="shared" si="21"/>
        <v>0.3246250847687045</v>
      </c>
      <c r="N10" s="27">
        <v>4</v>
      </c>
      <c r="O10">
        <f t="shared" si="6"/>
        <v>21.520077143311592</v>
      </c>
      <c r="P10">
        <f t="shared" si="22"/>
        <v>0.1938327971706541</v>
      </c>
      <c r="Q10">
        <f t="shared" ref="Q10" si="29">F$3*(1+F10)*$A$10</f>
        <v>3.0161214527487989E-2</v>
      </c>
      <c r="R10">
        <f t="shared" ref="R10" si="30">G$3*(1+G10)*$A$10</f>
        <v>1.9520573811290309E-2</v>
      </c>
      <c r="S10">
        <f t="shared" ref="S10" si="31">H$3*(1+H10)*$A$10</f>
        <v>4.0336596318434901E-3</v>
      </c>
      <c r="T10">
        <f t="shared" ref="T10" si="32">I$3*(1+I10)*$A$10</f>
        <v>0.13824023560377877</v>
      </c>
      <c r="U10">
        <f t="shared" ref="U10" si="33">J$3*(1+J10)*$A$10</f>
        <v>0.13015840206515966</v>
      </c>
      <c r="V10">
        <f t="shared" ref="V10" si="34">K$3*(1+K10)*$A$10</f>
        <v>9.6572737971972935E-3</v>
      </c>
      <c r="W10">
        <f t="shared" ref="W10" si="35">L$3*(1+L10)*$A$10</f>
        <v>3.2302199499444698E-2</v>
      </c>
      <c r="X10">
        <f t="shared" si="2"/>
        <v>22.077983499418451</v>
      </c>
      <c r="Y10">
        <f t="shared" si="3"/>
        <v>10.055266143570025</v>
      </c>
      <c r="Z10">
        <f t="shared" si="14"/>
        <v>0.55790635610685868</v>
      </c>
    </row>
    <row r="11" spans="1:26" x14ac:dyDescent="0.3">
      <c r="E11">
        <f t="shared" si="4"/>
        <v>1.9490403629035538</v>
      </c>
      <c r="F11">
        <f t="shared" ref="F11" si="36">$A$7*Q10/$X10</f>
        <v>0.30327903928720235</v>
      </c>
      <c r="G11">
        <f t="shared" ref="G11" si="37">$A$7*R10/$X10</f>
        <v>0.19628456494772711</v>
      </c>
      <c r="H11">
        <f t="shared" ref="H11" si="38">$A$7*S10/$X10</f>
        <v>4.0559521130760973E-2</v>
      </c>
      <c r="I11">
        <f t="shared" ref="I11" si="39">$A$7*T10/$X10</f>
        <v>1.3900423607458201</v>
      </c>
      <c r="J11">
        <f t="shared" ref="J11" si="40">$A$7*U10/$X10</f>
        <v>1.3087773735869745</v>
      </c>
      <c r="K11">
        <f t="shared" ref="K11" si="41">$A$7*V10/$X10</f>
        <v>9.7106458252143868E-2</v>
      </c>
      <c r="L11">
        <f t="shared" si="21"/>
        <v>0.32480721298961085</v>
      </c>
      <c r="N11" s="27">
        <v>5</v>
      </c>
      <c r="O11">
        <f t="shared" si="6"/>
        <v>21.520077143311592</v>
      </c>
      <c r="P11">
        <f t="shared" si="22"/>
        <v>0.20518074772956391</v>
      </c>
      <c r="Q11">
        <f t="shared" ref="Q11" si="42">F$3*(1+F11)*$A$10</f>
        <v>3.0162114465048045E-2</v>
      </c>
      <c r="R11">
        <f t="shared" ref="R11" si="43">G$3*(1+G11)*$A$10</f>
        <v>1.9516523927071323E-2</v>
      </c>
      <c r="S11">
        <f t="shared" ref="S11" si="44">H$3*(1+H11)*$A$10</f>
        <v>4.0334268009628808E-3</v>
      </c>
      <c r="T11">
        <f t="shared" ref="T11" si="45">I$3*(1+I11)*$A$10</f>
        <v>0.14267029905508269</v>
      </c>
      <c r="U11">
        <f t="shared" ref="U11" si="46">J$3*(1+J11)*$A$10</f>
        <v>0.1338579136188989</v>
      </c>
      <c r="V11">
        <f t="shared" ref="V11" si="47">K$3*(1+K11)*$A$10</f>
        <v>9.6559366374362257E-3</v>
      </c>
      <c r="W11">
        <f t="shared" ref="W11" si="48">L$3*(1+L11)*$A$10</f>
        <v>3.2306640863415413E-2</v>
      </c>
      <c r="X11">
        <f t="shared" si="2"/>
        <v>22.097460746409073</v>
      </c>
      <c r="Y11">
        <f t="shared" si="3"/>
        <v>10.046403183952975</v>
      </c>
      <c r="Z11">
        <f t="shared" si="14"/>
        <v>0.5773836030974806</v>
      </c>
    </row>
    <row r="12" spans="1:26" x14ac:dyDescent="0.3">
      <c r="E12">
        <f t="shared" si="4"/>
        <v>2.0613285172761429</v>
      </c>
      <c r="F12">
        <f t="shared" ref="F12" si="49">$A$7*Q11/$X11</f>
        <v>0.30302076279641277</v>
      </c>
      <c r="G12">
        <f t="shared" ref="G12" si="50">$A$7*R11/$X11</f>
        <v>0.19607086812062377</v>
      </c>
      <c r="H12">
        <f t="shared" ref="H12" si="51">$A$7*S11/$X11</f>
        <v>4.0521431855434747E-2</v>
      </c>
      <c r="I12">
        <f t="shared" ref="I12" si="52">$A$7*T11/$X11</f>
        <v>1.4333233466825057</v>
      </c>
      <c r="J12">
        <f t="shared" ref="J12" si="53">$A$7*U11/$X11</f>
        <v>1.3447905695782083</v>
      </c>
      <c r="K12">
        <f t="shared" ref="K12" si="54">$A$7*V11/$X11</f>
        <v>9.7007432578387495E-2</v>
      </c>
      <c r="L12">
        <f t="shared" si="21"/>
        <v>0.32456553963304191</v>
      </c>
      <c r="N12" s="27">
        <v>6</v>
      </c>
      <c r="O12">
        <f t="shared" si="6"/>
        <v>21.520077143311592</v>
      </c>
      <c r="P12">
        <f t="shared" si="22"/>
        <v>0.21299324421660978</v>
      </c>
      <c r="Q12">
        <f t="shared" ref="Q12" si="55">F$3*(1+F12)*$A$10</f>
        <v>3.0156137107288126E-2</v>
      </c>
      <c r="R12">
        <f t="shared" ref="R12" si="56">G$3*(1+G12)*$A$10</f>
        <v>1.9513037616738897E-2</v>
      </c>
      <c r="S12">
        <f t="shared" ref="S12" si="57">H$3*(1+H12)*$A$10</f>
        <v>4.0332791589483587E-3</v>
      </c>
      <c r="T12">
        <f t="shared" ref="T12" si="58">I$3*(1+I12)*$A$10</f>
        <v>0.14525389811943518</v>
      </c>
      <c r="U12">
        <f t="shared" ref="U12" si="59">J$3*(1+J12)*$A$10</f>
        <v>0.13594588075392217</v>
      </c>
      <c r="V12">
        <f t="shared" ref="V12" si="60">K$3*(1+K12)*$A$10</f>
        <v>9.6550650851597065E-3</v>
      </c>
      <c r="W12">
        <f t="shared" ref="W12" si="61">L$3*(1+L12)*$A$10</f>
        <v>3.2300747436613104E-2</v>
      </c>
      <c r="X12">
        <f t="shared" si="2"/>
        <v>22.109928432806306</v>
      </c>
      <c r="Y12">
        <f t="shared" si="3"/>
        <v>10.040738063656528</v>
      </c>
      <c r="Z12">
        <f t="shared" si="14"/>
        <v>0.58985128949471388</v>
      </c>
    </row>
    <row r="13" spans="1:26" x14ac:dyDescent="0.3">
      <c r="E13">
        <f t="shared" si="4"/>
        <v>2.1386093745074044</v>
      </c>
      <c r="F13">
        <f t="shared" ref="F13" si="62">$A$7*Q12/$X12</f>
        <v>0.30278987370599297</v>
      </c>
      <c r="G13">
        <f t="shared" ref="G13" si="63">$A$7*R12/$X12</f>
        <v>0.19592529953595189</v>
      </c>
      <c r="H13">
        <f t="shared" ref="H13" si="64">$A$7*S12/$X12</f>
        <v>4.0497099572605375E-2</v>
      </c>
      <c r="I13">
        <f t="shared" ref="I13" si="65">$A$7*T12/$X12</f>
        <v>1.4584563437423002</v>
      </c>
      <c r="J13">
        <f t="shared" ref="J13" si="66">$A$7*U12/$X12</f>
        <v>1.3649969794832177</v>
      </c>
      <c r="K13">
        <f t="shared" ref="K13" si="67">$A$7*V12/$X12</f>
        <v>9.6943979507644232E-2</v>
      </c>
      <c r="L13">
        <f t="shared" si="21"/>
        <v>0.32432334427135723</v>
      </c>
      <c r="N13" s="27">
        <v>7</v>
      </c>
      <c r="O13">
        <f t="shared" si="6"/>
        <v>21.520077143311592</v>
      </c>
      <c r="P13">
        <f t="shared" si="22"/>
        <v>0.21837009299472551</v>
      </c>
      <c r="Q13">
        <f t="shared" ref="Q13" si="68">F$3*(1+F13)*$A$10</f>
        <v>3.015079358302046E-2</v>
      </c>
      <c r="R13">
        <f t="shared" ref="R13" si="69">G$3*(1+G13)*$A$10</f>
        <v>1.9510662769776036E-2</v>
      </c>
      <c r="S13">
        <f t="shared" ref="S13" si="70">H$3*(1+H13)*$A$10</f>
        <v>4.0331848419201642E-3</v>
      </c>
      <c r="T13">
        <f t="shared" ref="T13" si="71">I$3*(1+I13)*$A$10</f>
        <v>0.14675417789085834</v>
      </c>
      <c r="U13">
        <f t="shared" ref="U13" si="72">J$3*(1+J13)*$A$10</f>
        <v>0.1371174046533489</v>
      </c>
      <c r="V13">
        <f t="shared" ref="V13" si="73">K$3*(1+K13)*$A$10</f>
        <v>9.6545066171770094E-3</v>
      </c>
      <c r="W13">
        <f t="shared" ref="W13" si="74">L$3*(1+L13)*$A$10</f>
        <v>3.2294841280236526E-2</v>
      </c>
      <c r="X13">
        <f t="shared" si="2"/>
        <v>22.117962807942654</v>
      </c>
      <c r="Y13">
        <f t="shared" si="3"/>
        <v>10.037090754139385</v>
      </c>
      <c r="Z13">
        <f t="shared" si="14"/>
        <v>0.59788566463106108</v>
      </c>
    </row>
    <row r="14" spans="1:26" x14ac:dyDescent="0.3">
      <c r="E14">
        <f t="shared" si="4"/>
        <v>2.1918004413779171</v>
      </c>
      <c r="F14">
        <f t="shared" ref="F14" si="75">$A$7*Q13/$X13</f>
        <v>0.30262625150209976</v>
      </c>
      <c r="G14">
        <f t="shared" ref="G14" si="76">$A$7*R13/$X13</f>
        <v>0.19583029289365056</v>
      </c>
      <c r="H14">
        <f t="shared" ref="H14" si="77">$A$7*S13/$X13</f>
        <v>4.0481442286571995E-2</v>
      </c>
      <c r="I14">
        <f t="shared" ref="I14" si="78">$A$7*T13/$X13</f>
        <v>1.4729850020396609</v>
      </c>
      <c r="J14">
        <f t="shared" ref="J14" si="79">$A$7*U13/$X13</f>
        <v>1.376259834477717</v>
      </c>
      <c r="K14">
        <f t="shared" ref="K14" si="80">$A$7*V13/$X13</f>
        <v>9.6903159103044881E-2</v>
      </c>
      <c r="L14">
        <f t="shared" si="21"/>
        <v>0.32414625282026094</v>
      </c>
      <c r="N14" s="27">
        <v>8</v>
      </c>
      <c r="O14">
        <f t="shared" si="6"/>
        <v>21.520077143311592</v>
      </c>
      <c r="P14">
        <f t="shared" si="22"/>
        <v>0.22207088427934515</v>
      </c>
      <c r="Q14">
        <f t="shared" ref="Q14" si="81">F$3*(1+F14)*$A$10</f>
        <v>3.0147006833219317E-2</v>
      </c>
      <c r="R14">
        <f t="shared" ref="R14" si="82">G$3*(1+G14)*$A$10</f>
        <v>1.9509112804607185E-2</v>
      </c>
      <c r="S14">
        <f t="shared" ref="S14" si="83">H$3*(1+H14)*$A$10</f>
        <v>4.0331241509977958E-3</v>
      </c>
      <c r="T14">
        <f t="shared" ref="T14" si="84">I$3*(1+I14)*$A$10</f>
        <v>0.14762144621136911</v>
      </c>
      <c r="U14">
        <f t="shared" ref="U14" si="85">J$3*(1+J14)*$A$10</f>
        <v>0.13777040060185547</v>
      </c>
      <c r="V14">
        <f t="shared" ref="V14" si="86">K$3*(1+K14)*$A$10</f>
        <v>9.6541473455335307E-3</v>
      </c>
      <c r="W14">
        <f t="shared" ref="W14" si="87">L$3*(1+L14)*$A$10</f>
        <v>3.2290522742524433E-2</v>
      </c>
      <c r="X14">
        <f t="shared" si="2"/>
        <v>22.123173788281036</v>
      </c>
      <c r="Y14">
        <f t="shared" si="3"/>
        <v>10.034726577865451</v>
      </c>
      <c r="Z14">
        <f t="shared" si="14"/>
        <v>0.60309664496944393</v>
      </c>
    </row>
    <row r="15" spans="1:26" x14ac:dyDescent="0.3">
      <c r="E15">
        <f t="shared" si="4"/>
        <v>2.2284206046480275</v>
      </c>
      <c r="F15">
        <f t="shared" ref="F15" si="88">$A$7*Q14/$X14</f>
        <v>0.30251697071239719</v>
      </c>
      <c r="G15">
        <f t="shared" ref="G15" si="89">$A$7*R14/$X14</f>
        <v>0.19576861277096691</v>
      </c>
      <c r="H15">
        <f t="shared" ref="H15" si="90">$A$7*S14/$X14</f>
        <v>4.0471298109848612E-2</v>
      </c>
      <c r="I15">
        <f t="shared" ref="I15" si="91">$A$7*T14/$X14</f>
        <v>1.4813408497601606</v>
      </c>
      <c r="J15">
        <f t="shared" ref="J15" si="92">$A$7*U14/$X14</f>
        <v>1.3824883005626092</v>
      </c>
      <c r="K15">
        <f t="shared" ref="K15" si="93">$A$7*V14/$X14</f>
        <v>9.6876728954854524E-2</v>
      </c>
      <c r="L15">
        <f t="shared" si="21"/>
        <v>0.32402656677757874</v>
      </c>
      <c r="N15" s="27">
        <v>9</v>
      </c>
      <c r="O15">
        <f t="shared" si="6"/>
        <v>21.520077143311592</v>
      </c>
      <c r="P15">
        <f t="shared" si="22"/>
        <v>0.2246187478407452</v>
      </c>
      <c r="Q15">
        <f t="shared" ref="Q15" si="94">F$3*(1+F15)*$A$10</f>
        <v>3.0144477720428827E-2</v>
      </c>
      <c r="R15">
        <f t="shared" ref="R15" si="95">G$3*(1+G15)*$A$10</f>
        <v>1.9508106537682535E-2</v>
      </c>
      <c r="S15">
        <f t="shared" ref="S15" si="96">H$3*(1+H15)*$A$10</f>
        <v>4.0330848300426363E-3</v>
      </c>
      <c r="T15">
        <f t="shared" ref="T15" si="97">I$3*(1+I15)*$A$10</f>
        <v>0.14812023707496297</v>
      </c>
      <c r="U15">
        <f t="shared" ref="U15" si="98">J$3*(1+J15)*$A$10</f>
        <v>0.138131513580832</v>
      </c>
      <c r="V15">
        <f t="shared" ref="V15" si="99">K$3*(1+K15)*$A$10</f>
        <v>9.6539147265070676E-3</v>
      </c>
      <c r="W15">
        <f t="shared" ref="W15" si="100">L$3*(1+L15)*$A$10</f>
        <v>3.2287604088429414E-2</v>
      </c>
      <c r="X15">
        <f t="shared" si="2"/>
        <v>22.12657482971122</v>
      </c>
      <c r="Y15">
        <f t="shared" si="3"/>
        <v>10.033184155638127</v>
      </c>
      <c r="Z15">
        <f t="shared" si="14"/>
        <v>0.60649768639962787</v>
      </c>
    </row>
    <row r="16" spans="1:26" x14ac:dyDescent="0.3">
      <c r="E16" s="2">
        <f>$A$7*P15/$X15</f>
        <v>2.2536412618950403</v>
      </c>
      <c r="F16" s="2">
        <f t="shared" ref="F16" si="101">$A$7*Q15/$X15</f>
        <v>0.30244509624459304</v>
      </c>
      <c r="G16" s="2">
        <f t="shared" ref="G16" si="102">$A$7*R15/$X15</f>
        <v>0.19572842542037694</v>
      </c>
      <c r="H16" s="2">
        <f t="shared" ref="H16" si="103">$A$7*S15/$X15</f>
        <v>4.0464682815128265E-2</v>
      </c>
      <c r="I16" s="2">
        <f t="shared" ref="I16" si="104">$A$7*T15/$X15</f>
        <v>1.4861176157498814</v>
      </c>
      <c r="J16" s="2">
        <f t="shared" ref="J16" si="105">$A$7*U15/$X15</f>
        <v>1.3858989134535165</v>
      </c>
      <c r="K16" s="2">
        <f t="shared" ref="K16" si="106">$A$7*V15/$X15</f>
        <v>9.6859504273872299E-2</v>
      </c>
      <c r="L16" s="2">
        <f>$A$7*W15/$X15</f>
        <v>0.32394747776354682</v>
      </c>
      <c r="N16" s="23">
        <v>10</v>
      </c>
      <c r="O16">
        <f t="shared" si="6"/>
        <v>21.520077143311592</v>
      </c>
      <c r="P16" s="2">
        <f>E$3*(1+E16)*$A$10</f>
        <v>0.22637348588274275</v>
      </c>
      <c r="Q16" s="2">
        <f t="shared" ref="Q16" si="107">F$3*(1+F16)*$A$10</f>
        <v>3.0142814311550397E-2</v>
      </c>
      <c r="R16" s="2">
        <f t="shared" ref="R16" si="108">G$3*(1+G16)*$A$10</f>
        <v>1.9507450909906056E-2</v>
      </c>
      <c r="S16" s="2">
        <f t="shared" ref="S16" si="109">H$3*(1+H16)*$A$10</f>
        <v>4.0330591877737621E-3</v>
      </c>
      <c r="T16" s="2">
        <f t="shared" ref="T16" si="110">I$3*(1+I16)*$A$10</f>
        <v>0.14840537956593414</v>
      </c>
      <c r="U16" s="2">
        <f t="shared" ref="U16" si="111">J$3*(1+J16)*$A$10</f>
        <v>0.13832925353227191</v>
      </c>
      <c r="V16" s="2">
        <f t="shared" ref="V16" si="112">K$3*(1+K16)*$A$10</f>
        <v>9.6537631273373482E-3</v>
      </c>
      <c r="W16" s="2">
        <f t="shared" ref="W16" si="113">L$3*(1+L16)*$A$10</f>
        <v>3.2285675430170684E-2</v>
      </c>
      <c r="X16" s="2">
        <f t="shared" si="2"/>
        <v>22.128808025259275</v>
      </c>
      <c r="Y16" s="2">
        <f t="shared" si="3"/>
        <v>10.032171626532916</v>
      </c>
      <c r="Z16" s="2">
        <f t="shared" si="14"/>
        <v>0.60873088194768243</v>
      </c>
    </row>
    <row r="18" spans="5:26" x14ac:dyDescent="0.3">
      <c r="E18" s="2">
        <v>2.272744560278003</v>
      </c>
      <c r="F18" s="2">
        <v>0.30364660774689423</v>
      </c>
      <c r="G18" s="2">
        <v>0.19655584444904323</v>
      </c>
      <c r="H18" s="2">
        <v>4.0643093015240161E-2</v>
      </c>
      <c r="I18" s="2">
        <v>1.4860307681881832</v>
      </c>
      <c r="J18" s="2">
        <v>1.3855879301889493</v>
      </c>
      <c r="K18" s="2">
        <v>9.7282674327224899E-2</v>
      </c>
      <c r="L18" s="2">
        <v>0.32521366392166123</v>
      </c>
      <c r="N18" s="23" t="s">
        <v>19</v>
      </c>
      <c r="P18" s="2">
        <v>0.22654647446505724</v>
      </c>
      <c r="Q18" s="2">
        <v>3.026739989641361E-2</v>
      </c>
      <c r="R18" s="2">
        <v>1.9592625750245389E-2</v>
      </c>
      <c r="S18" s="2">
        <v>4.0512909347066176E-3</v>
      </c>
      <c r="T18" s="2">
        <v>0.14812708711904424</v>
      </c>
      <c r="U18" s="2">
        <v>0.13811497610943393</v>
      </c>
      <c r="V18" s="2">
        <v>9.6971068727007802E-3</v>
      </c>
      <c r="W18" s="2">
        <v>3.2417197381963705E-2</v>
      </c>
      <c r="X18" s="2">
        <f>Z18+A2</f>
        <v>22.128891301841158</v>
      </c>
      <c r="Y18" s="2">
        <v>10.032133872948675</v>
      </c>
      <c r="Z18" s="3">
        <v>0.60881415852956544</v>
      </c>
    </row>
  </sheetData>
  <mergeCells count="4">
    <mergeCell ref="E1:L1"/>
    <mergeCell ref="E6:G6"/>
    <mergeCell ref="E5:F5"/>
    <mergeCell ref="P6:R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M16" sqref="M16"/>
    </sheetView>
  </sheetViews>
  <sheetFormatPr defaultRowHeight="14.4" x14ac:dyDescent="0.3"/>
  <sheetData>
    <row r="1" spans="1:16" x14ac:dyDescent="0.3">
      <c r="A1" s="1" t="s">
        <v>17</v>
      </c>
      <c r="E1" s="30" t="s">
        <v>15</v>
      </c>
      <c r="F1" s="30"/>
      <c r="G1" s="30"/>
      <c r="H1" s="30"/>
      <c r="I1" s="30"/>
      <c r="J1" s="30"/>
      <c r="K1" s="30"/>
      <c r="L1" s="30"/>
    </row>
    <row r="2" spans="1:16" x14ac:dyDescent="0.3">
      <c r="A2" s="2">
        <v>21.520077143311592</v>
      </c>
      <c r="E2" s="1" t="s">
        <v>22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29</v>
      </c>
      <c r="O2" s="13" t="s">
        <v>32</v>
      </c>
      <c r="P2" s="13" t="s">
        <v>27</v>
      </c>
    </row>
    <row r="3" spans="1:16" x14ac:dyDescent="0.3">
      <c r="E3" s="2">
        <v>6.989024972164784E-2</v>
      </c>
      <c r="F3" s="2">
        <v>2.3247972005726102E-2</v>
      </c>
      <c r="G3" s="2">
        <v>1.6388102433593128E-2</v>
      </c>
      <c r="H3" s="2">
        <v>3.8937490058851593E-3</v>
      </c>
      <c r="I3" s="2">
        <v>5.9963734690631453E-2</v>
      </c>
      <c r="J3" s="2">
        <v>5.8240178145379351E-2</v>
      </c>
      <c r="K3" s="2">
        <v>8.8411006839510097E-3</v>
      </c>
      <c r="L3" s="2">
        <v>2.4496262128201048E-2</v>
      </c>
      <c r="M3" s="3">
        <f>SUM(E3:L3)</f>
        <v>0.2649613488150151</v>
      </c>
      <c r="N3" s="2">
        <f>MAX(E3:L3)</f>
        <v>6.989024972164784E-2</v>
      </c>
      <c r="O3">
        <f>M3/8</f>
        <v>3.3120168601876887E-2</v>
      </c>
      <c r="P3">
        <f>1/N3</f>
        <v>14.308147473827947</v>
      </c>
    </row>
    <row r="5" spans="1:16" x14ac:dyDescent="0.3">
      <c r="E5" s="13" t="s">
        <v>33</v>
      </c>
      <c r="F5" s="13" t="s">
        <v>34</v>
      </c>
    </row>
    <row r="6" spans="1:16" x14ac:dyDescent="0.3">
      <c r="E6">
        <f>(M3+A2)/N3</f>
        <v>311.70354346836592</v>
      </c>
      <c r="F6">
        <f>((M3+A2)^2-M3*O3)/((A2+M3)*N3-M3*O3)</f>
        <v>313.50472184594645</v>
      </c>
    </row>
    <row r="9" spans="1:16" x14ac:dyDescent="0.3">
      <c r="E9" s="36" t="s">
        <v>35</v>
      </c>
      <c r="F9" s="36"/>
      <c r="G9" s="36"/>
      <c r="J9" s="36" t="s">
        <v>38</v>
      </c>
      <c r="K9" s="36"/>
      <c r="L9" s="36"/>
      <c r="M9" s="36"/>
    </row>
    <row r="10" spans="1:16" x14ac:dyDescent="0.3">
      <c r="E10" s="16" t="s">
        <v>20</v>
      </c>
      <c r="F10" s="17" t="s">
        <v>36</v>
      </c>
      <c r="G10" s="18" t="s">
        <v>37</v>
      </c>
      <c r="J10" s="19" t="s">
        <v>39</v>
      </c>
      <c r="K10" s="20" t="s">
        <v>40</v>
      </c>
      <c r="L10" s="20" t="s">
        <v>41</v>
      </c>
      <c r="M10" s="21" t="s">
        <v>42</v>
      </c>
    </row>
    <row r="11" spans="1:16" x14ac:dyDescent="0.3">
      <c r="E11">
        <v>1</v>
      </c>
      <c r="F11">
        <f>MIN(E11/($M$3+$A$2),$P$3)</f>
        <v>4.5903063258823845E-2</v>
      </c>
      <c r="G11">
        <f>MAX($M$3,(E11*$N$3-$A$2))</f>
        <v>0.2649613488150151</v>
      </c>
      <c r="J11">
        <f>E11/($A$2+M11)</f>
        <v>4.5903063258823845E-2</v>
      </c>
      <c r="K11">
        <f>MIN(1/$N$3,E11/($A$2+L11))</f>
        <v>4.5903063258823845E-2</v>
      </c>
      <c r="L11">
        <f>$M$3+(E11-1)*$O$3/(1+$A$2/$M$3)</f>
        <v>0.2649613488150151</v>
      </c>
      <c r="M11">
        <f>$M$3+(E11-1)*$N$3/(1+$A$2/E11*$M$3)</f>
        <v>0.2649613488150151</v>
      </c>
    </row>
    <row r="12" spans="1:16" x14ac:dyDescent="0.3">
      <c r="E12">
        <v>10</v>
      </c>
      <c r="F12">
        <f>MIN(E12/($M$3+$A$2),$P$3)</f>
        <v>0.45903063258823845</v>
      </c>
      <c r="G12">
        <f>MAX($M$3,(E12*$N$3-$A$2))</f>
        <v>0.2649613488150151</v>
      </c>
      <c r="J12">
        <f t="shared" ref="J12:J15" si="0">E12/($A$2+M12)</f>
        <v>0.45074216400057293</v>
      </c>
      <c r="K12">
        <f t="shared" ref="K12:K15" si="1">MIN(1/$N$3,E12/($A$2+L12))</f>
        <v>0.45895425423140868</v>
      </c>
      <c r="L12">
        <f>$M$3+(E12-1)*$O$3/(1+$A$2/$M$3)</f>
        <v>0.26858677646528756</v>
      </c>
      <c r="M12">
        <f t="shared" ref="M12:M20" si="2">$M$3+(E12-1)*$N$3/(1+$A$2/E12*$M$3)</f>
        <v>0.66555535053979031</v>
      </c>
    </row>
    <row r="13" spans="1:16" x14ac:dyDescent="0.3">
      <c r="E13">
        <v>100</v>
      </c>
      <c r="F13">
        <f t="shared" ref="F13:F17" si="3">MIN(E13/($M$3+$A$2),$P$3)</f>
        <v>4.5903063258823842</v>
      </c>
      <c r="G13">
        <f t="shared" ref="G13:G17" si="4">MAX($M$3,(E13*$N$3-$A$2))</f>
        <v>0.2649613488150151</v>
      </c>
      <c r="J13">
        <f t="shared" si="0"/>
        <v>3.5297114946227333</v>
      </c>
      <c r="K13">
        <f t="shared" si="1"/>
        <v>4.581918662909195</v>
      </c>
      <c r="L13">
        <f t="shared" ref="L13:L15" si="5">$M$3+(E13-1)*$O$3/(1+$A$2/$M$3)</f>
        <v>0.30484105296801239</v>
      </c>
      <c r="M13">
        <f t="shared" si="2"/>
        <v>6.8108502291784703</v>
      </c>
    </row>
    <row r="14" spans="1:16" x14ac:dyDescent="0.3">
      <c r="E14">
        <v>200</v>
      </c>
      <c r="F14">
        <f t="shared" si="3"/>
        <v>9.1806126517647684</v>
      </c>
      <c r="G14">
        <f t="shared" si="4"/>
        <v>0.2649613488150151</v>
      </c>
      <c r="J14">
        <f t="shared" si="0"/>
        <v>5.6644917945997655</v>
      </c>
      <c r="K14">
        <f t="shared" si="1"/>
        <v>9.1469546750913473</v>
      </c>
      <c r="L14">
        <f>$M$3+(E14-1)*$O$3/(1+$A$2/$M$3)</f>
        <v>0.34512358241548441</v>
      </c>
      <c r="M14">
        <f t="shared" si="2"/>
        <v>13.78759162066644</v>
      </c>
    </row>
    <row r="15" spans="1:16" x14ac:dyDescent="0.3">
      <c r="E15">
        <v>300</v>
      </c>
      <c r="F15">
        <f t="shared" si="3"/>
        <v>13.770918977647153</v>
      </c>
      <c r="G15">
        <f t="shared" si="4"/>
        <v>0.2649613488150151</v>
      </c>
      <c r="J15">
        <f t="shared" si="0"/>
        <v>7.0934652654967758</v>
      </c>
      <c r="K15">
        <f t="shared" si="1"/>
        <v>13.695201174305685</v>
      </c>
      <c r="L15">
        <f>$M$3+(E15-1)*$O$3/(1+$A$2/$M$3)</f>
        <v>0.38540611186295642</v>
      </c>
      <c r="M15">
        <f>$M$3+(E15-1)*$N$3/(1+$A$2/E15*$M$3)</f>
        <v>20.772369322765538</v>
      </c>
    </row>
    <row r="16" spans="1:16" x14ac:dyDescent="0.3">
      <c r="E16">
        <f>E6</f>
        <v>311.70354346836592</v>
      </c>
      <c r="F16" s="22">
        <f t="shared" si="3"/>
        <v>14.308147473827947</v>
      </c>
      <c r="G16">
        <f t="shared" si="4"/>
        <v>0.2649613488150151</v>
      </c>
      <c r="J16">
        <f t="shared" ref="J16:J20" si="6">E16/($A$2+M16)</f>
        <v>7.2304084420892183</v>
      </c>
      <c r="K16">
        <f t="shared" ref="K16:K20" si="7">MIN(1/$N$3,E16/($A$2+L16))</f>
        <v>14.226413982580564</v>
      </c>
      <c r="L16">
        <f t="shared" ref="L16" si="8">$M$3+(E16-1)*$O$3/(1+$A$2/$M$3)</f>
        <v>0.3901205952069986</v>
      </c>
      <c r="M16">
        <f t="shared" si="2"/>
        <v>21.590010753507077</v>
      </c>
    </row>
    <row r="17" spans="5:13" x14ac:dyDescent="0.3">
      <c r="E17">
        <f>F6</f>
        <v>313.50472184594645</v>
      </c>
      <c r="F17" s="22">
        <f t="shared" si="3"/>
        <v>14.308147473827947</v>
      </c>
      <c r="G17" s="22">
        <f t="shared" si="4"/>
        <v>0.39084615541734991</v>
      </c>
      <c r="J17">
        <f t="shared" si="6"/>
        <v>7.2510237778140194</v>
      </c>
      <c r="K17" s="22">
        <f t="shared" si="7"/>
        <v>14.308147473827947</v>
      </c>
      <c r="L17" s="22">
        <f>$M$3+(E17-1)*$O$3/(1+$A$2/$M$3)</f>
        <v>0.39084615541734896</v>
      </c>
      <c r="M17">
        <f>$M$3+(E17-1)*$N$3/(1+$A$2/E17*$M$3)</f>
        <v>21.71584807943804</v>
      </c>
    </row>
    <row r="18" spans="5:13" x14ac:dyDescent="0.3">
      <c r="E18">
        <v>400</v>
      </c>
      <c r="F18">
        <f>MIN(E18/($M$3+$A$2),$P$3)</f>
        <v>14.308147473827947</v>
      </c>
      <c r="G18">
        <f>MAX($M$3,(E18*$N$3-$A$2))</f>
        <v>6.4360227453475432</v>
      </c>
      <c r="J18">
        <f t="shared" si="6"/>
        <v>8.1169954574972643</v>
      </c>
      <c r="K18">
        <f t="shared" si="7"/>
        <v>14.308147473827947</v>
      </c>
      <c r="L18">
        <f>G18</f>
        <v>6.4360227453475432</v>
      </c>
      <c r="M18">
        <f t="shared" si="2"/>
        <v>27.759240813006834</v>
      </c>
    </row>
    <row r="19" spans="5:13" x14ac:dyDescent="0.3">
      <c r="E19">
        <v>500</v>
      </c>
      <c r="F19">
        <f>MIN(E19/($M$3+$A$2),$P$3)</f>
        <v>14.308147473827947</v>
      </c>
      <c r="G19">
        <f>MAX($M$3,(E19*$N$3-$A$2))</f>
        <v>13.425047717512324</v>
      </c>
      <c r="J19">
        <f t="shared" si="6"/>
        <v>8.8861967856696928</v>
      </c>
      <c r="K19">
        <f t="shared" si="7"/>
        <v>14.308147473827947</v>
      </c>
      <c r="L19">
        <f t="shared" ref="L19:L20" si="9">G19</f>
        <v>13.425047717512324</v>
      </c>
      <c r="M19">
        <f t="shared" si="2"/>
        <v>34.74696398347551</v>
      </c>
    </row>
    <row r="20" spans="5:13" x14ac:dyDescent="0.3">
      <c r="E20">
        <v>600</v>
      </c>
      <c r="F20">
        <f>MIN(E20/($M$3+$A$2),$P$3)</f>
        <v>14.308147473827947</v>
      </c>
      <c r="G20">
        <f>MAX($M$3,(E20*$N$3-$A$2))</f>
        <v>20.414072689677109</v>
      </c>
      <c r="J20">
        <f t="shared" si="6"/>
        <v>9.4853870594969187</v>
      </c>
      <c r="K20">
        <f t="shared" si="7"/>
        <v>14.308147473827947</v>
      </c>
      <c r="L20">
        <f t="shared" si="9"/>
        <v>20.414072689677109</v>
      </c>
      <c r="M20">
        <f t="shared" si="2"/>
        <v>41.735117002853549</v>
      </c>
    </row>
  </sheetData>
  <mergeCells count="3">
    <mergeCell ref="E1:L1"/>
    <mergeCell ref="E9:G9"/>
    <mergeCell ref="J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MVA</vt:lpstr>
      <vt:lpstr>linearizer</vt:lpstr>
      <vt:lpstr>approx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2015-04-22T14:18:01Z</dcterms:modified>
</cp:coreProperties>
</file>